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835"/>
  </bookViews>
  <sheets>
    <sheet name="Cover Page" sheetId="5" r:id="rId1"/>
    <sheet name="SWEPCO Read Me " sheetId="2" r:id="rId2"/>
    <sheet name="Flint Creek SNCR Cost" sheetId="3" r:id="rId3"/>
    <sheet name="Flint Creek SCR $ton" sheetId="4" r:id="rId4"/>
    <sheet name="CEPCI Index" sheetId="1" r:id="rId5"/>
  </sheets>
  <externalReferences>
    <externalReference r:id="rId6"/>
  </externalReferences>
  <definedNames>
    <definedName name="_xlnm.Print_Area" localSheetId="2">'Flint Creek SNCR Cost'!$A$1:$F$84</definedName>
  </definedNames>
  <calcPr calcId="145621"/>
</workbook>
</file>

<file path=xl/calcChain.xml><?xml version="1.0" encoding="utf-8"?>
<calcChain xmlns="http://schemas.openxmlformats.org/spreadsheetml/2006/main">
  <c r="C16" i="4" l="1"/>
  <c r="C9" i="4"/>
  <c r="D3" i="4" s="1"/>
  <c r="I3" i="4" s="1"/>
  <c r="H3" i="4"/>
  <c r="E3" i="4"/>
  <c r="J3" i="4" s="1"/>
  <c r="D70" i="3"/>
  <c r="D62" i="3"/>
  <c r="D57" i="3"/>
  <c r="D56" i="3" s="1"/>
  <c r="D55" i="3"/>
  <c r="D54" i="3"/>
  <c r="D52" i="3"/>
  <c r="F43" i="3"/>
  <c r="F51" i="3" s="1"/>
  <c r="E43" i="3"/>
  <c r="E51" i="3" s="1"/>
  <c r="E50" i="3" s="1"/>
  <c r="F42" i="3"/>
  <c r="F55" i="3" s="1"/>
  <c r="D41" i="3"/>
  <c r="D40" i="3"/>
  <c r="D39" i="3" s="1"/>
  <c r="F29" i="3"/>
  <c r="F28" i="3"/>
  <c r="E28" i="3"/>
  <c r="E27" i="3"/>
  <c r="E30" i="3" s="1"/>
  <c r="F25" i="3"/>
  <c r="E25" i="3"/>
  <c r="E29" i="3" s="1"/>
  <c r="D25" i="3"/>
  <c r="C21" i="3"/>
  <c r="F19" i="3"/>
  <c r="E19" i="3"/>
  <c r="D19" i="3"/>
  <c r="F10" i="3"/>
  <c r="F9" i="3" s="1"/>
  <c r="F8" i="3" s="1"/>
  <c r="E9" i="3"/>
  <c r="R29" i="2"/>
  <c r="R28" i="2"/>
  <c r="D63" i="3" s="1"/>
  <c r="X23" i="2"/>
  <c r="R23" i="2"/>
  <c r="R27" i="2" s="1"/>
  <c r="C23" i="1"/>
  <c r="C22" i="1"/>
  <c r="C21" i="1"/>
  <c r="C20" i="1"/>
  <c r="C19" i="1"/>
  <c r="C18" i="1"/>
  <c r="C17" i="1"/>
  <c r="C16" i="1"/>
  <c r="C15" i="1"/>
  <c r="C14" i="1"/>
  <c r="C13" i="1"/>
  <c r="C12" i="1"/>
  <c r="C11" i="1"/>
  <c r="C10" i="1"/>
  <c r="C9" i="1"/>
  <c r="C8" i="1"/>
  <c r="C7" i="1"/>
  <c r="C6" i="1"/>
  <c r="C5" i="1"/>
  <c r="C4" i="1"/>
  <c r="C3" i="1"/>
  <c r="C2" i="1"/>
  <c r="E32" i="3" l="1"/>
  <c r="E33" i="3" s="1"/>
  <c r="F50" i="3"/>
  <c r="E63" i="3"/>
  <c r="D64" i="3"/>
  <c r="D67" i="3"/>
  <c r="F57" i="3"/>
  <c r="F56" i="3" s="1"/>
  <c r="F54" i="3"/>
  <c r="F27" i="3"/>
  <c r="F30" i="3" s="1"/>
  <c r="D29" i="3"/>
  <c r="F41" i="3"/>
  <c r="E62" i="3"/>
  <c r="D65" i="3"/>
  <c r="D28" i="3"/>
  <c r="E42" i="3"/>
  <c r="F62" i="3"/>
  <c r="D27" i="3"/>
  <c r="D30" i="3" s="1"/>
  <c r="E45" i="3" l="1"/>
  <c r="E36" i="3"/>
  <c r="E41" i="3"/>
  <c r="E55" i="3"/>
  <c r="D32" i="3"/>
  <c r="D33" i="3" s="1"/>
  <c r="F53" i="3"/>
  <c r="F52" i="3" s="1"/>
  <c r="F40" i="3"/>
  <c r="F67" i="3"/>
  <c r="E64" i="3"/>
  <c r="E65" i="3" s="1"/>
  <c r="F63" i="3"/>
  <c r="F64" i="3" s="1"/>
  <c r="F65" i="3" s="1"/>
  <c r="F32" i="3"/>
  <c r="F33" i="3" s="1"/>
  <c r="F45" i="3" l="1"/>
  <c r="F36" i="3"/>
  <c r="D36" i="3"/>
  <c r="D45" i="3" s="1"/>
  <c r="E53" i="3"/>
  <c r="E52" i="3" s="1"/>
  <c r="E40" i="3"/>
  <c r="E67" i="3"/>
  <c r="F39" i="3"/>
  <c r="F37" i="3" s="1"/>
  <c r="F49" i="3"/>
  <c r="E48" i="3"/>
  <c r="E59" i="3"/>
  <c r="E54" i="3"/>
  <c r="E57" i="3"/>
  <c r="E56" i="3" s="1"/>
  <c r="D48" i="3" l="1"/>
  <c r="D58" i="3" s="1"/>
  <c r="D60" i="3" s="1"/>
  <c r="D68" i="3" s="1"/>
  <c r="D59" i="3"/>
  <c r="E49" i="3"/>
  <c r="E58" i="3" s="1"/>
  <c r="E60" i="3" s="1"/>
  <c r="E68" i="3" s="1"/>
  <c r="E39" i="3"/>
  <c r="F59" i="3"/>
  <c r="D71" i="3"/>
  <c r="F48" i="3"/>
  <c r="F58" i="3" s="1"/>
  <c r="F60" i="3" s="1"/>
  <c r="F68" i="3" s="1"/>
  <c r="D72" i="3" l="1"/>
  <c r="D73" i="3" s="1"/>
</calcChain>
</file>

<file path=xl/sharedStrings.xml><?xml version="1.0" encoding="utf-8"?>
<sst xmlns="http://schemas.openxmlformats.org/spreadsheetml/2006/main" count="215" uniqueCount="150">
  <si>
    <t>Year (n)</t>
  </si>
  <si>
    <t>CEPCI Index Value</t>
  </si>
  <si>
    <r>
      <t>Cost Index Ratio (Value</t>
    </r>
    <r>
      <rPr>
        <vertAlign val="subscript"/>
        <sz val="11"/>
        <color theme="1"/>
        <rFont val="Calibri"/>
        <family val="2"/>
        <scheme val="minor"/>
      </rPr>
      <t>2019</t>
    </r>
    <r>
      <rPr>
        <sz val="11"/>
        <color theme="1"/>
        <rFont val="Calibri"/>
        <family val="2"/>
        <scheme val="minor"/>
      </rPr>
      <t>/Value</t>
    </r>
    <r>
      <rPr>
        <vertAlign val="subscript"/>
        <sz val="11"/>
        <color theme="1"/>
        <rFont val="Calibri"/>
        <family val="2"/>
        <scheme val="minor"/>
      </rPr>
      <t>n</t>
    </r>
    <r>
      <rPr>
        <sz val="11"/>
        <color theme="1"/>
        <rFont val="Calibri"/>
        <family val="2"/>
        <scheme val="minor"/>
      </rPr>
      <t>)</t>
    </r>
  </si>
  <si>
    <t>DRAFT</t>
  </si>
  <si>
    <t>Baseline Operations for Flint Creek (June 2018 - December 2019) obtained from AMPD on June 9, 2020</t>
  </si>
  <si>
    <t>State</t>
  </si>
  <si>
    <t xml:space="preserve"> Facility Name</t>
  </si>
  <si>
    <t xml:space="preserve"> Facility ID (ORISPL)</t>
  </si>
  <si>
    <t xml:space="preserve"> Unit ID</t>
  </si>
  <si>
    <t xml:space="preserve"> Associated Stacks</t>
  </si>
  <si>
    <t xml:space="preserve"> Month</t>
  </si>
  <si>
    <t xml:space="preserve"> Year</t>
  </si>
  <si>
    <t xml:space="preserve"> Program(s)</t>
  </si>
  <si>
    <t xml:space="preserve"> Operating Time</t>
  </si>
  <si>
    <t xml:space="preserve"> SO2 (tons)</t>
  </si>
  <si>
    <t xml:space="preserve"> Avg. NOx Rate (lb/MMBtu)</t>
  </si>
  <si>
    <t xml:space="preserve"> NOx (tons)</t>
  </si>
  <si>
    <t xml:space="preserve"> CO2 (short tons)</t>
  </si>
  <si>
    <t xml:space="preserve"> Heat Input (MMBtu)</t>
  </si>
  <si>
    <t># of hours in month</t>
  </si>
  <si>
    <t>AR</t>
  </si>
  <si>
    <t>Flint Creek Power Plant</t>
  </si>
  <si>
    <t>ARP, CSOSG2, MATS</t>
  </si>
  <si>
    <t>Total</t>
  </si>
  <si>
    <t>Data obtained from AMPD 7_9_2020</t>
  </si>
  <si>
    <t>Capacity Factor during baseline</t>
  </si>
  <si>
    <t>Average Monthly NOx emission Rate</t>
  </si>
  <si>
    <t>Maximum Monthly NOx Emission Rate</t>
  </si>
  <si>
    <t>Annual Emissions based on Average Monthly NOx Emission Rate</t>
  </si>
  <si>
    <r>
      <rPr>
        <b/>
        <sz val="10"/>
        <rFont val="Times New Roman"/>
        <family val="1"/>
      </rPr>
      <t xml:space="preserve">SNCR </t>
    </r>
    <r>
      <rPr>
        <b/>
        <sz val="10"/>
        <color theme="1"/>
        <rFont val="Times New Roman"/>
        <family val="1"/>
      </rPr>
      <t>Capital and O&amp;M Cost Estimate for Flint Creek</t>
    </r>
  </si>
  <si>
    <t>Technology</t>
  </si>
  <si>
    <t>SNCR</t>
  </si>
  <si>
    <t>AEP SWEPCO</t>
  </si>
  <si>
    <t>EPA FIP Analysis</t>
  </si>
  <si>
    <t>DEQ Analysis</t>
  </si>
  <si>
    <t>Parameters/Costs</t>
  </si>
  <si>
    <r>
      <t>Equation</t>
    </r>
    <r>
      <rPr>
        <vertAlign val="superscript"/>
        <sz val="10"/>
        <color theme="1"/>
        <rFont val="Times New Roman"/>
        <family val="1"/>
      </rPr>
      <t>1</t>
    </r>
  </si>
  <si>
    <r>
      <t>Boiler design capacity, mmBtu/hr (Q</t>
    </r>
    <r>
      <rPr>
        <vertAlign val="subscript"/>
        <sz val="10"/>
        <color theme="1"/>
        <rFont val="Times New Roman"/>
        <family val="1"/>
      </rPr>
      <t>B</t>
    </r>
    <r>
      <rPr>
        <sz val="10"/>
        <color theme="1"/>
        <rFont val="Times New Roman"/>
        <family val="1"/>
      </rPr>
      <t>)</t>
    </r>
  </si>
  <si>
    <r>
      <t>Q</t>
    </r>
    <r>
      <rPr>
        <vertAlign val="subscript"/>
        <sz val="10"/>
        <color theme="1"/>
        <rFont val="Times New Roman"/>
        <family val="1"/>
      </rPr>
      <t>B</t>
    </r>
  </si>
  <si>
    <r>
      <t>Total operating time (t</t>
    </r>
    <r>
      <rPr>
        <vertAlign val="subscript"/>
        <sz val="10"/>
        <color theme="1"/>
        <rFont val="Times New Roman"/>
        <family val="1"/>
      </rPr>
      <t>op</t>
    </r>
    <r>
      <rPr>
        <sz val="10"/>
        <color theme="1"/>
        <rFont val="Times New Roman"/>
        <family val="1"/>
      </rPr>
      <t>, hrs/yr)</t>
    </r>
  </si>
  <si>
    <r>
      <t>t</t>
    </r>
    <r>
      <rPr>
        <vertAlign val="subscript"/>
        <sz val="10"/>
        <color theme="1"/>
        <rFont val="Times New Roman"/>
        <family val="1"/>
      </rPr>
      <t>op</t>
    </r>
    <r>
      <rPr>
        <sz val="10"/>
        <color theme="1"/>
        <rFont val="Times New Roman"/>
        <family val="1"/>
      </rPr>
      <t xml:space="preserve"> = CF</t>
    </r>
    <r>
      <rPr>
        <vertAlign val="subscript"/>
        <sz val="10"/>
        <color theme="1"/>
        <rFont val="Times New Roman"/>
        <family val="1"/>
      </rPr>
      <t>total</t>
    </r>
    <r>
      <rPr>
        <sz val="10"/>
        <color theme="1"/>
        <rFont val="Times New Roman"/>
        <family val="1"/>
      </rPr>
      <t xml:space="preserve"> × 8760 hrs/yr</t>
    </r>
  </si>
  <si>
    <r>
      <t>Total Capacity Factor (CF</t>
    </r>
    <r>
      <rPr>
        <vertAlign val="subscript"/>
        <sz val="10"/>
        <color theme="1"/>
        <rFont val="Times New Roman"/>
        <family val="1"/>
      </rPr>
      <t>total</t>
    </r>
    <r>
      <rPr>
        <sz val="10"/>
        <color theme="1"/>
        <rFont val="Times New Roman"/>
        <family val="1"/>
      </rPr>
      <t>)</t>
    </r>
  </si>
  <si>
    <r>
      <t>CF</t>
    </r>
    <r>
      <rPr>
        <vertAlign val="subscript"/>
        <sz val="10"/>
        <color theme="1"/>
        <rFont val="Times New Roman"/>
        <family val="1"/>
      </rPr>
      <t>total</t>
    </r>
    <r>
      <rPr>
        <sz val="10"/>
        <color theme="1"/>
        <rFont val="Times New Roman"/>
        <family val="1"/>
      </rPr>
      <t xml:space="preserve"> = CF</t>
    </r>
    <r>
      <rPr>
        <vertAlign val="subscript"/>
        <sz val="10"/>
        <color theme="1"/>
        <rFont val="Times New Roman"/>
        <family val="1"/>
      </rPr>
      <t xml:space="preserve">plant </t>
    </r>
    <r>
      <rPr>
        <sz val="10"/>
        <color theme="1"/>
        <rFont val="Times New Roman"/>
        <family val="1"/>
      </rPr>
      <t>× CF</t>
    </r>
    <r>
      <rPr>
        <vertAlign val="subscript"/>
        <sz val="10"/>
        <color theme="1"/>
        <rFont val="Times New Roman"/>
        <family val="1"/>
      </rPr>
      <t>SNCR</t>
    </r>
  </si>
  <si>
    <r>
      <t>Plant Capacity Factor (CF</t>
    </r>
    <r>
      <rPr>
        <vertAlign val="subscript"/>
        <sz val="10"/>
        <color theme="1"/>
        <rFont val="Times New Roman"/>
        <family val="1"/>
      </rPr>
      <t>plant</t>
    </r>
    <r>
      <rPr>
        <sz val="10"/>
        <color theme="1"/>
        <rFont val="Times New Roman"/>
        <family val="1"/>
      </rPr>
      <t>)</t>
    </r>
  </si>
  <si>
    <r>
      <t>SNCR Capacity Factor (CF</t>
    </r>
    <r>
      <rPr>
        <vertAlign val="subscript"/>
        <sz val="10"/>
        <color theme="1"/>
        <rFont val="Times New Roman"/>
        <family val="1"/>
      </rPr>
      <t>SCNR</t>
    </r>
    <r>
      <rPr>
        <sz val="10"/>
        <color theme="1"/>
        <rFont val="Times New Roman"/>
        <family val="1"/>
      </rPr>
      <t>)</t>
    </r>
  </si>
  <si>
    <r>
      <t>CF</t>
    </r>
    <r>
      <rPr>
        <vertAlign val="subscript"/>
        <sz val="10"/>
        <color theme="1"/>
        <rFont val="Times New Roman"/>
        <family val="1"/>
      </rPr>
      <t xml:space="preserve">SNCR </t>
    </r>
    <r>
      <rPr>
        <sz val="10"/>
        <color theme="1"/>
        <rFont val="Times New Roman"/>
        <family val="1"/>
      </rPr>
      <t>= t</t>
    </r>
    <r>
      <rPr>
        <vertAlign val="subscript"/>
        <sz val="10"/>
        <color theme="1"/>
        <rFont val="Times New Roman"/>
        <family val="1"/>
      </rPr>
      <t>SNCR</t>
    </r>
    <r>
      <rPr>
        <sz val="10"/>
        <color theme="1"/>
        <rFont val="Times New Roman"/>
        <family val="1"/>
      </rPr>
      <t xml:space="preserve">/365 </t>
    </r>
  </si>
  <si>
    <t>Assumed NOx removal efficiency
(ηNOx)</t>
  </si>
  <si>
    <t>Uncontrolled NOx rate (NOxin,
lb/MMBtu, Max Month Basis)</t>
  </si>
  <si>
    <r>
      <t>Electricity Cost (Cost</t>
    </r>
    <r>
      <rPr>
        <vertAlign val="subscript"/>
        <sz val="10"/>
        <color theme="1"/>
        <rFont val="Times New Roman"/>
        <family val="1"/>
      </rPr>
      <t>elect</t>
    </r>
    <r>
      <rPr>
        <sz val="10"/>
        <color theme="1"/>
        <rFont val="Times New Roman"/>
        <family val="1"/>
      </rPr>
      <t>, $/kwh)</t>
    </r>
  </si>
  <si>
    <r>
      <t>Water Cost (Cost</t>
    </r>
    <r>
      <rPr>
        <vertAlign val="subscript"/>
        <sz val="10"/>
        <color theme="1"/>
        <rFont val="Times New Roman"/>
        <family val="1"/>
      </rPr>
      <t>water</t>
    </r>
    <r>
      <rPr>
        <sz val="10"/>
        <color theme="1"/>
        <rFont val="Times New Roman"/>
        <family val="1"/>
      </rPr>
      <t>, $/gal)</t>
    </r>
  </si>
  <si>
    <r>
      <t>Coal Cost (Cost</t>
    </r>
    <r>
      <rPr>
        <vertAlign val="subscript"/>
        <sz val="10"/>
        <color theme="1"/>
        <rFont val="Times New Roman"/>
        <family val="1"/>
      </rPr>
      <t>coal</t>
    </r>
    <r>
      <rPr>
        <sz val="10"/>
        <color theme="1"/>
        <rFont val="Times New Roman"/>
        <family val="1"/>
      </rPr>
      <t>, $/MMBtu)</t>
    </r>
  </si>
  <si>
    <t>Coal HHV (Btu/lb)</t>
  </si>
  <si>
    <r>
      <t>Cost of Ash Disposal (C</t>
    </r>
    <r>
      <rPr>
        <vertAlign val="subscript"/>
        <sz val="10"/>
        <color theme="1"/>
        <rFont val="Times New Roman"/>
        <family val="1"/>
      </rPr>
      <t>ash</t>
    </r>
    <r>
      <rPr>
        <sz val="10"/>
        <color theme="1"/>
        <rFont val="Times New Roman"/>
        <family val="1"/>
      </rPr>
      <t>, $/ton)</t>
    </r>
  </si>
  <si>
    <t>Capital recovery factor (CRF)</t>
  </si>
  <si>
    <t>CRF = [ I x (1+i)^a]/[(1+i)^a - 1], where I = interest rate, a = equipment life</t>
  </si>
  <si>
    <r>
      <t xml:space="preserve">a.  Equipment CRF, </t>
    </r>
    <r>
      <rPr>
        <sz val="10"/>
        <color rgb="FF002060"/>
        <rFont val="Times New Roman"/>
        <family val="1"/>
      </rPr>
      <t>20</t>
    </r>
    <r>
      <rPr>
        <sz val="10"/>
        <color theme="1"/>
        <rFont val="Times New Roman"/>
        <family val="1"/>
      </rPr>
      <t>-yr life,7% interest used for AEP SWEPCO
b. Equipment CRF, 30-yr life, 7% interest rate used for EPA FIP analysis
c. Equipment CRF, 20 years, 3.125% interest rate used for DEQ analysis</t>
    </r>
  </si>
  <si>
    <t>Cost Index</t>
  </si>
  <si>
    <r>
      <t xml:space="preserve">a. </t>
    </r>
    <r>
      <rPr>
        <sz val="10"/>
        <rFont val="Times New Roman"/>
        <family val="1"/>
      </rPr>
      <t xml:space="preserve"> 2019</t>
    </r>
    <r>
      <rPr>
        <sz val="10"/>
        <color theme="1"/>
        <rFont val="Times New Roman"/>
        <family val="1"/>
      </rPr>
      <t xml:space="preserve"> Cost Index</t>
    </r>
  </si>
  <si>
    <t>b. 1998 Cost Index</t>
  </si>
  <si>
    <t xml:space="preserve">Capital Costs </t>
  </si>
  <si>
    <t>Direct Capital Cost (A)</t>
  </si>
  <si>
    <r>
      <t>DC ($) = ($950/MMBtu) × Q</t>
    </r>
    <r>
      <rPr>
        <vertAlign val="subscript"/>
        <sz val="10"/>
        <color theme="1"/>
        <rFont val="Times New Roman"/>
        <family val="1"/>
      </rPr>
      <t>B</t>
    </r>
    <r>
      <rPr>
        <sz val="10"/>
        <color theme="1"/>
        <rFont val="Times New Roman"/>
        <family val="1"/>
      </rPr>
      <t xml:space="preserve"> × ((2375 MMBtu/hr/Q</t>
    </r>
    <r>
      <rPr>
        <vertAlign val="subscript"/>
        <sz val="10"/>
        <color theme="1"/>
        <rFont val="Times New Roman"/>
        <family val="1"/>
      </rPr>
      <t>B</t>
    </r>
    <r>
      <rPr>
        <sz val="10"/>
        <color theme="1"/>
        <rFont val="Times New Roman"/>
        <family val="1"/>
      </rPr>
      <t>)^0.577) × (0.66 + 0.85η</t>
    </r>
    <r>
      <rPr>
        <vertAlign val="subscript"/>
        <sz val="10"/>
        <color theme="1"/>
        <rFont val="Times New Roman"/>
        <family val="1"/>
      </rPr>
      <t>NOx</t>
    </r>
    <r>
      <rPr>
        <sz val="10"/>
        <color theme="1"/>
        <rFont val="Times New Roman"/>
        <family val="1"/>
      </rPr>
      <t>) × (CI</t>
    </r>
    <r>
      <rPr>
        <vertAlign val="subscript"/>
        <sz val="10"/>
        <color theme="1"/>
        <rFont val="Times New Roman"/>
        <family val="1"/>
      </rPr>
      <t>2019</t>
    </r>
    <r>
      <rPr>
        <sz val="10"/>
        <color theme="1"/>
        <rFont val="Times New Roman"/>
        <family val="1"/>
      </rPr>
      <t>/CI</t>
    </r>
    <r>
      <rPr>
        <vertAlign val="subscript"/>
        <sz val="10"/>
        <color theme="1"/>
        <rFont val="Times New Roman"/>
        <family val="1"/>
      </rPr>
      <t>1998</t>
    </r>
    <r>
      <rPr>
        <sz val="10"/>
        <color theme="1"/>
        <rFont val="Times New Roman"/>
        <family val="1"/>
      </rPr>
      <t>)</t>
    </r>
  </si>
  <si>
    <t>Indirect Installation Costs ($)</t>
  </si>
  <si>
    <t>General Facilities</t>
  </si>
  <si>
    <t>0.05 × A</t>
  </si>
  <si>
    <t>Engineering and Home Office Fees</t>
  </si>
  <si>
    <t>0.10 × A</t>
  </si>
  <si>
    <t xml:space="preserve">Process Contingency </t>
  </si>
  <si>
    <t>Total Indirect Installation Costs (B)</t>
  </si>
  <si>
    <t>= General Facilities Cost + Engineering and Home Office Fees + Process Contingency</t>
  </si>
  <si>
    <t>Other Installation Costs ($)</t>
  </si>
  <si>
    <t>Project Contingency (C)</t>
  </si>
  <si>
    <t>C = 0.15 × (A + B)</t>
  </si>
  <si>
    <t>Total Plant Cost (D)</t>
  </si>
  <si>
    <t>D = A + B + C</t>
  </si>
  <si>
    <t>Allowance for Funds During Construction (E)</t>
  </si>
  <si>
    <t>E = 0 (Assumed for SNCR)</t>
  </si>
  <si>
    <t>Royalty Allowance (F)</t>
  </si>
  <si>
    <t>F = 0 (Assumed for SNCR)</t>
  </si>
  <si>
    <t>Preproduction Cost (G)</t>
  </si>
  <si>
    <t>G = 0.02 × (D + E)</t>
  </si>
  <si>
    <t>Inventory Capital (H)</t>
  </si>
  <si>
    <r>
      <t>H = Vol</t>
    </r>
    <r>
      <rPr>
        <vertAlign val="subscript"/>
        <sz val="10"/>
        <color theme="1"/>
        <rFont val="Times New Roman"/>
        <family val="1"/>
      </rPr>
      <t>reagent</t>
    </r>
    <r>
      <rPr>
        <sz val="10"/>
        <color theme="1"/>
        <rFont val="Times New Roman"/>
        <family val="1"/>
      </rPr>
      <t xml:space="preserve"> (gal) × Cost</t>
    </r>
    <r>
      <rPr>
        <vertAlign val="subscript"/>
        <sz val="10"/>
        <color theme="1"/>
        <rFont val="Times New Roman"/>
        <family val="1"/>
      </rPr>
      <t>reagent</t>
    </r>
    <r>
      <rPr>
        <sz val="10"/>
        <color theme="1"/>
        <rFont val="Times New Roman"/>
        <family val="1"/>
      </rPr>
      <t xml:space="preserve"> ($/gal)</t>
    </r>
  </si>
  <si>
    <r>
      <t>Cost</t>
    </r>
    <r>
      <rPr>
        <vertAlign val="subscript"/>
        <sz val="10"/>
        <color theme="1"/>
        <rFont val="Times New Roman"/>
        <family val="1"/>
      </rPr>
      <t>reag</t>
    </r>
    <r>
      <rPr>
        <sz val="10"/>
        <color theme="1"/>
        <rFont val="Times New Roman"/>
        <family val="1"/>
      </rPr>
      <t>, 50% Urea solution ($/gal)</t>
    </r>
  </si>
  <si>
    <r>
      <t>Volume of Reagent Tank (Vol</t>
    </r>
    <r>
      <rPr>
        <vertAlign val="subscript"/>
        <sz val="10"/>
        <color theme="1"/>
        <rFont val="Times New Roman"/>
        <family val="1"/>
      </rPr>
      <t>reagent</t>
    </r>
    <r>
      <rPr>
        <sz val="10"/>
        <color theme="1"/>
        <rFont val="Times New Roman"/>
        <family val="1"/>
      </rPr>
      <t xml:space="preserve"> (gal))</t>
    </r>
  </si>
  <si>
    <r>
      <t>Vol</t>
    </r>
    <r>
      <rPr>
        <vertAlign val="subscript"/>
        <sz val="10"/>
        <color theme="1"/>
        <rFont val="Times New Roman"/>
        <family val="1"/>
      </rPr>
      <t>reagent</t>
    </r>
    <r>
      <rPr>
        <sz val="10"/>
        <color theme="1"/>
        <rFont val="Times New Roman"/>
        <family val="1"/>
      </rPr>
      <t xml:space="preserve"> (gal) = q</t>
    </r>
    <r>
      <rPr>
        <vertAlign val="subscript"/>
        <sz val="10"/>
        <color theme="1"/>
        <rFont val="Times New Roman"/>
        <family val="1"/>
      </rPr>
      <t>sol</t>
    </r>
    <r>
      <rPr>
        <sz val="10"/>
        <color theme="1"/>
        <rFont val="Times New Roman"/>
        <family val="1"/>
      </rPr>
      <t xml:space="preserve"> x days of reagent supply × 24 hr/day</t>
    </r>
  </si>
  <si>
    <r>
      <t>Urea solution volumetric flow rate (q</t>
    </r>
    <r>
      <rPr>
        <vertAlign val="subscript"/>
        <sz val="10"/>
        <color theme="1"/>
        <rFont val="Times New Roman"/>
        <family val="1"/>
      </rPr>
      <t>sol</t>
    </r>
    <r>
      <rPr>
        <sz val="10"/>
        <color theme="1"/>
        <rFont val="Times New Roman"/>
        <family val="1"/>
      </rPr>
      <t>, gal/hr)</t>
    </r>
  </si>
  <si>
    <t xml:space="preserve">qsol = (msol x 7.481 gal/ft3
)/ρreagent </t>
  </si>
  <si>
    <r>
      <t>Mass flow rate of urea solution (m</t>
    </r>
    <r>
      <rPr>
        <vertAlign val="subscript"/>
        <sz val="10"/>
        <color theme="1"/>
        <rFont val="Times New Roman"/>
        <family val="1"/>
      </rPr>
      <t>sol</t>
    </r>
    <r>
      <rPr>
        <sz val="10"/>
        <color theme="1"/>
        <rFont val="Times New Roman"/>
        <family val="1"/>
      </rPr>
      <t>, lb/hr)</t>
    </r>
  </si>
  <si>
    <t>msol = mreagent/Cureasol</t>
  </si>
  <si>
    <r>
      <t>Mass flow rate of reagent (m</t>
    </r>
    <r>
      <rPr>
        <vertAlign val="subscript"/>
        <sz val="10"/>
        <color theme="1"/>
        <rFont val="Times New Roman"/>
        <family val="1"/>
      </rPr>
      <t>reagent</t>
    </r>
    <r>
      <rPr>
        <sz val="10"/>
        <color theme="1"/>
        <rFont val="Times New Roman"/>
        <family val="1"/>
      </rPr>
      <t>, lb/hr)</t>
    </r>
  </si>
  <si>
    <t>mreagent = (NOxin x QB x ηNOx × NSR x Mreagent)/(MNOx x SRT)</t>
  </si>
  <si>
    <t>Normalized Stoichiometric Ratio (NSR)</t>
  </si>
  <si>
    <t>NSR = ([2 × NOxin + 0.7] × ηNOx)/NOxin</t>
  </si>
  <si>
    <t>Initial Catalyst and Chemicals (I)</t>
  </si>
  <si>
    <t>I = 0 (Assumed for SNCR due to no catalyst)</t>
  </si>
  <si>
    <t xml:space="preserve">Total Capital Investment (TCI) (Capital Cost) </t>
  </si>
  <si>
    <t>TCI = D + E + F + G + H + I</t>
  </si>
  <si>
    <t>Annual Costs ($)</t>
  </si>
  <si>
    <t>Annual Maintenance Cost (J)</t>
  </si>
  <si>
    <t>J = 0.015 × TCI</t>
  </si>
  <si>
    <t>Annual Reagent Cost (K)</t>
  </si>
  <si>
    <r>
      <t>K = q</t>
    </r>
    <r>
      <rPr>
        <vertAlign val="subscript"/>
        <sz val="10"/>
        <color theme="1"/>
        <rFont val="Times New Roman"/>
        <family val="1"/>
      </rPr>
      <t>sol</t>
    </r>
    <r>
      <rPr>
        <sz val="10"/>
        <color theme="1"/>
        <rFont val="Times New Roman"/>
        <family val="1"/>
      </rPr>
      <t xml:space="preserve"> × Cost</t>
    </r>
    <r>
      <rPr>
        <vertAlign val="subscript"/>
        <sz val="10"/>
        <color theme="1"/>
        <rFont val="Times New Roman"/>
        <family val="1"/>
      </rPr>
      <t>reag</t>
    </r>
    <r>
      <rPr>
        <sz val="10"/>
        <color theme="1"/>
        <rFont val="Times New Roman"/>
        <family val="1"/>
      </rPr>
      <t xml:space="preserve"> × t</t>
    </r>
    <r>
      <rPr>
        <vertAlign val="subscript"/>
        <sz val="10"/>
        <color theme="1"/>
        <rFont val="Times New Roman"/>
        <family val="1"/>
      </rPr>
      <t>op</t>
    </r>
  </si>
  <si>
    <t>Annual Electricity Cost (L)</t>
  </si>
  <si>
    <t>L = P × Costelect × top</t>
  </si>
  <si>
    <t>Power (P, kW)</t>
  </si>
  <si>
    <t>P = (0.47 × NOxin × NSR × QB)/9.5</t>
  </si>
  <si>
    <t>Annual Water Cost (M)</t>
  </si>
  <si>
    <r>
      <t>M = q</t>
    </r>
    <r>
      <rPr>
        <vertAlign val="subscript"/>
        <sz val="10"/>
        <color theme="1"/>
        <rFont val="Times New Roman"/>
        <family val="1"/>
      </rPr>
      <t>water</t>
    </r>
    <r>
      <rPr>
        <sz val="10"/>
        <color theme="1"/>
        <rFont val="Times New Roman"/>
        <family val="1"/>
      </rPr>
      <t xml:space="preserve"> × Cost</t>
    </r>
    <r>
      <rPr>
        <vertAlign val="subscript"/>
        <sz val="10"/>
        <color theme="1"/>
        <rFont val="Times New Roman"/>
        <family val="1"/>
      </rPr>
      <t>water</t>
    </r>
    <r>
      <rPr>
        <sz val="10"/>
        <color theme="1"/>
        <rFont val="Times New Roman"/>
        <family val="1"/>
      </rPr>
      <t xml:space="preserve"> × t</t>
    </r>
    <r>
      <rPr>
        <vertAlign val="subscript"/>
        <sz val="10"/>
        <color theme="1"/>
        <rFont val="Times New Roman"/>
        <family val="1"/>
      </rPr>
      <t>op</t>
    </r>
  </si>
  <si>
    <r>
      <t>Water flowrate for SNCR system (q</t>
    </r>
    <r>
      <rPr>
        <vertAlign val="subscript"/>
        <sz val="10"/>
        <color theme="1"/>
        <rFont val="Times New Roman"/>
        <family val="1"/>
      </rPr>
      <t>water</t>
    </r>
    <r>
      <rPr>
        <sz val="10"/>
        <color theme="1"/>
        <rFont val="Times New Roman"/>
        <family val="1"/>
      </rPr>
      <t>, gal/hr)</t>
    </r>
  </si>
  <si>
    <r>
      <t>q</t>
    </r>
    <r>
      <rPr>
        <vertAlign val="subscript"/>
        <sz val="10"/>
        <color theme="1"/>
        <rFont val="Times New Roman"/>
        <family val="1"/>
      </rPr>
      <t>water</t>
    </r>
    <r>
      <rPr>
        <sz val="10"/>
        <color theme="1"/>
        <rFont val="Times New Roman"/>
        <family val="1"/>
      </rPr>
      <t xml:space="preserve"> = (m</t>
    </r>
    <r>
      <rPr>
        <vertAlign val="subscript"/>
        <sz val="10"/>
        <color theme="1"/>
        <rFont val="Times New Roman"/>
        <family val="1"/>
      </rPr>
      <t>sol</t>
    </r>
    <r>
      <rPr>
        <sz val="10"/>
        <color theme="1"/>
        <rFont val="Times New Roman"/>
        <family val="1"/>
      </rPr>
      <t>/ρ</t>
    </r>
    <r>
      <rPr>
        <vertAlign val="subscript"/>
        <sz val="10"/>
        <color theme="1"/>
        <rFont val="Times New Roman"/>
        <family val="1"/>
      </rPr>
      <t>water</t>
    </r>
    <r>
      <rPr>
        <sz val="10"/>
        <color theme="1"/>
        <rFont val="Times New Roman"/>
        <family val="1"/>
      </rPr>
      <t>) × [(C</t>
    </r>
    <r>
      <rPr>
        <vertAlign val="subscript"/>
        <sz val="10"/>
        <color theme="1"/>
        <rFont val="Times New Roman"/>
        <family val="1"/>
      </rPr>
      <t>ureasolstored</t>
    </r>
    <r>
      <rPr>
        <sz val="10"/>
        <color theme="1"/>
        <rFont val="Times New Roman"/>
        <family val="1"/>
      </rPr>
      <t>/C</t>
    </r>
    <r>
      <rPr>
        <vertAlign val="subscript"/>
        <sz val="10"/>
        <color theme="1"/>
        <rFont val="Times New Roman"/>
        <family val="1"/>
      </rPr>
      <t>ureasolinj</t>
    </r>
    <r>
      <rPr>
        <sz val="10"/>
        <color theme="1"/>
        <rFont val="Times New Roman"/>
        <family val="1"/>
      </rPr>
      <t>) - 1]</t>
    </r>
  </si>
  <si>
    <t>Annual ΔCoal Cost (N)</t>
  </si>
  <si>
    <r>
      <t>N = ΔCoal × Cost</t>
    </r>
    <r>
      <rPr>
        <vertAlign val="subscript"/>
        <sz val="10"/>
        <color theme="1"/>
        <rFont val="Times New Roman"/>
        <family val="1"/>
      </rPr>
      <t>coal</t>
    </r>
    <r>
      <rPr>
        <sz val="10"/>
        <color theme="1"/>
        <rFont val="Times New Roman"/>
        <family val="1"/>
      </rPr>
      <t xml:space="preserve"> × t</t>
    </r>
    <r>
      <rPr>
        <vertAlign val="subscript"/>
        <sz val="10"/>
        <color theme="1"/>
        <rFont val="Times New Roman"/>
        <family val="1"/>
      </rPr>
      <t>op</t>
    </r>
    <r>
      <rPr>
        <sz val="10"/>
        <color theme="1"/>
        <rFont val="Times New Roman"/>
        <family val="1"/>
      </rPr>
      <t xml:space="preserve">  </t>
    </r>
  </si>
  <si>
    <t>Additional coal required (ΔCoal, MMBtu/hr)</t>
  </si>
  <si>
    <r>
      <t>ΔCoal = (Hv × m</t>
    </r>
    <r>
      <rPr>
        <vertAlign val="subscript"/>
        <sz val="10"/>
        <color theme="1"/>
        <rFont val="Times New Roman"/>
        <family val="1"/>
      </rPr>
      <t>reagent</t>
    </r>
    <r>
      <rPr>
        <sz val="10"/>
        <color theme="1"/>
        <rFont val="Times New Roman"/>
        <family val="1"/>
      </rPr>
      <t xml:space="preserve"> × [(1/C</t>
    </r>
    <r>
      <rPr>
        <vertAlign val="subscript"/>
        <sz val="10"/>
        <color theme="1"/>
        <rFont val="Times New Roman"/>
        <family val="1"/>
      </rPr>
      <t>ureasolinj</t>
    </r>
    <r>
      <rPr>
        <sz val="10"/>
        <color theme="1"/>
        <rFont val="Times New Roman"/>
        <family val="1"/>
      </rPr>
      <t>) - 1])/10</t>
    </r>
    <r>
      <rPr>
        <vertAlign val="superscript"/>
        <sz val="10"/>
        <color theme="1"/>
        <rFont val="Times New Roman"/>
        <family val="1"/>
      </rPr>
      <t>6</t>
    </r>
    <r>
      <rPr>
        <sz val="10"/>
        <color theme="1"/>
        <rFont val="Times New Roman"/>
        <family val="1"/>
      </rPr>
      <t xml:space="preserve"> Btu/MMBtu</t>
    </r>
  </si>
  <si>
    <t>Annual ΔAsh Cost (O)</t>
  </si>
  <si>
    <r>
      <t>O = (ΔAsh × Cost</t>
    </r>
    <r>
      <rPr>
        <vertAlign val="subscript"/>
        <sz val="10"/>
        <color theme="1"/>
        <rFont val="Times New Roman"/>
        <family val="1"/>
      </rPr>
      <t>ash</t>
    </r>
    <r>
      <rPr>
        <sz val="10"/>
        <color theme="1"/>
        <rFont val="Times New Roman"/>
        <family val="1"/>
      </rPr>
      <t xml:space="preserve"> × t</t>
    </r>
    <r>
      <rPr>
        <vertAlign val="subscript"/>
        <sz val="10"/>
        <color theme="1"/>
        <rFont val="Times New Roman"/>
        <family val="1"/>
      </rPr>
      <t>op</t>
    </r>
    <r>
      <rPr>
        <sz val="10"/>
        <color theme="1"/>
        <rFont val="Times New Roman"/>
        <family val="1"/>
      </rPr>
      <t>)/2000 lb/ton</t>
    </r>
  </si>
  <si>
    <t>Additional ash generated (ΔAsh , lb/hr)</t>
  </si>
  <si>
    <r>
      <t>ΔAsh = (ΔCoal × ashproduct × 10</t>
    </r>
    <r>
      <rPr>
        <vertAlign val="superscript"/>
        <sz val="10"/>
        <color theme="1"/>
        <rFont val="Times New Roman"/>
        <family val="1"/>
      </rPr>
      <t>6</t>
    </r>
    <r>
      <rPr>
        <sz val="10"/>
        <color theme="1"/>
        <rFont val="Times New Roman"/>
        <family val="1"/>
      </rPr>
      <t xml:space="preserve"> Btu/MMBtu)/HHV</t>
    </r>
  </si>
  <si>
    <t>Direct Annual Costs (DAC)/Variable O&amp;M</t>
  </si>
  <si>
    <t xml:space="preserve">DAC = J + K + L + M + N + O  </t>
  </si>
  <si>
    <t>Indirect Annual Costs (IDAC)/Annualized Capital Cost</t>
  </si>
  <si>
    <t>IDAC = CFR × TCI</t>
  </si>
  <si>
    <t>Total Annualized Costs (TAC)</t>
  </si>
  <si>
    <t>TAC = DAC + IDAC</t>
  </si>
  <si>
    <r>
      <t xml:space="preserve">Based on </t>
    </r>
    <r>
      <rPr>
        <b/>
        <i/>
        <sz val="10"/>
        <color rgb="FF002060"/>
        <rFont val="Times New Roman"/>
        <family val="1"/>
      </rPr>
      <t>average Annual</t>
    </r>
    <r>
      <rPr>
        <b/>
        <sz val="10"/>
        <color rgb="FF002060"/>
        <rFont val="Times New Roman"/>
        <family val="1"/>
      </rPr>
      <t xml:space="preserve"> Emission Rates:</t>
    </r>
  </si>
  <si>
    <t>Total Uncontrolled NOx Emissions (tpy)</t>
  </si>
  <si>
    <t>Total Uncontrolled NOx Emissions (lb/MMBTU)</t>
  </si>
  <si>
    <t>Control Efficiency (average month basis)</t>
  </si>
  <si>
    <t>Post-Control Emissions (tpy)</t>
  </si>
  <si>
    <t>Post-Control Emissions (lb/MMBtu)</t>
  </si>
  <si>
    <t>Pollutant Removed (tpy)</t>
  </si>
  <si>
    <t>Cost Effectiveness ($/ton removed)</t>
  </si>
  <si>
    <t>CRF</t>
  </si>
  <si>
    <t>Annualized Capital Cost</t>
  </si>
  <si>
    <t>TAC</t>
  </si>
  <si>
    <t>Cost-Effectiveness</t>
  </si>
  <si>
    <t>Total Annual Cost ($2019)</t>
  </si>
  <si>
    <t>Total Capital Investment (2018 dollars)</t>
  </si>
  <si>
    <t>Annual O&amp;M (2018 Dollars)</t>
  </si>
  <si>
    <t>interest = 3.25%</t>
  </si>
  <si>
    <t>interest = 7%</t>
  </si>
  <si>
    <t>Average Baseline Emission Rate</t>
  </si>
  <si>
    <t>Controlled Emission Rate</t>
  </si>
  <si>
    <t>Estimated Annual Emission Reductions</t>
  </si>
  <si>
    <t xml:space="preserve">I </t>
  </si>
  <si>
    <t>bank prime rate 7/10/20</t>
  </si>
  <si>
    <t>a</t>
  </si>
  <si>
    <t>social cost of rulemaking</t>
  </si>
  <si>
    <t>Interest Rate Sensitivity (7%)</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</si>
</sst>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0.000"/>
    <numFmt numFmtId="165" formatCode="&quot;$&quot;#,##0.00"/>
    <numFmt numFmtId="166" formatCode="&quot;$&quot;#,##0.00000"/>
    <numFmt numFmtId="167" formatCode="0.0000"/>
    <numFmt numFmtId="168" formatCode="0.0"/>
    <numFmt numFmtId="169" formatCode="&quot;$&quot;#,##0"/>
    <numFmt numFmtId="170" formatCode="#,##0.0"/>
    <numFmt numFmtId="171" formatCode="0.0%"/>
    <numFmt numFmtId="172" formatCode="#,##0.000"/>
    <numFmt numFmtId="173" formatCode="_(* #,##0_);_(* \(#,##0\);_(* &quot;-&quot;??_);_(@_)"/>
    <numFmt numFmtId="174" formatCode="&quot;$&quot;#,##0.00\ ;\(&quot;$&quot;#,##0.00\)"/>
    <numFmt numFmtId="175" formatCode="&quot;$&quot;#,##0\ ;\(&quot;$&quot;#,##0\)"/>
  </numFmts>
  <fonts count="24" x14ac:knownFonts="1">
    <font>
      <sz val="11"/>
      <color theme="1"/>
      <name val="Calibri"/>
      <family val="2"/>
      <scheme val="minor"/>
    </font>
    <font>
      <sz val="11"/>
      <color theme="1"/>
      <name val="Calibri"/>
      <family val="2"/>
      <scheme val="minor"/>
    </font>
    <font>
      <b/>
      <sz val="11"/>
      <color theme="1"/>
      <name val="Calibri"/>
      <family val="2"/>
      <scheme val="minor"/>
    </font>
    <font>
      <vertAlign val="subscript"/>
      <sz val="11"/>
      <color theme="1"/>
      <name val="Calibri"/>
      <family val="2"/>
      <scheme val="minor"/>
    </font>
    <font>
      <sz val="10"/>
      <color theme="1"/>
      <name val="Times New Roman"/>
      <family val="1"/>
    </font>
    <font>
      <b/>
      <sz val="10"/>
      <color theme="1"/>
      <name val="Times New Roman"/>
      <family val="1"/>
    </font>
    <font>
      <b/>
      <sz val="10"/>
      <name val="Times New Roman"/>
      <family val="1"/>
    </font>
    <font>
      <vertAlign val="superscript"/>
      <sz val="10"/>
      <color theme="1"/>
      <name val="Times New Roman"/>
      <family val="1"/>
    </font>
    <font>
      <vertAlign val="subscript"/>
      <sz val="10"/>
      <color theme="1"/>
      <name val="Times New Roman"/>
      <family val="1"/>
    </font>
    <font>
      <sz val="10"/>
      <name val="Times New Roman"/>
      <family val="1"/>
    </font>
    <font>
      <sz val="10"/>
      <color rgb="FF002060"/>
      <name val="Times New Roman"/>
      <family val="1"/>
    </font>
    <font>
      <b/>
      <sz val="10"/>
      <color rgb="FF002060"/>
      <name val="Times New Roman"/>
      <family val="1"/>
    </font>
    <font>
      <sz val="10"/>
      <name val="Arial"/>
      <family val="2"/>
    </font>
    <font>
      <b/>
      <i/>
      <sz val="10"/>
      <color rgb="FF002060"/>
      <name val="Times New Roman"/>
      <family val="1"/>
    </font>
    <font>
      <u/>
      <sz val="11"/>
      <color theme="10"/>
      <name val="Calibri"/>
      <family val="2"/>
    </font>
    <font>
      <u/>
      <sz val="10"/>
      <color theme="10"/>
      <name val="Times New Roman"/>
      <family val="1"/>
    </font>
    <font>
      <sz val="12"/>
      <color indexed="24"/>
      <name val="Arial"/>
      <family val="2"/>
    </font>
    <font>
      <sz val="12"/>
      <name val="Arial"/>
      <family val="2"/>
    </font>
    <font>
      <b/>
      <sz val="18"/>
      <name val="Arial"/>
      <family val="2"/>
    </font>
    <font>
      <sz val="18"/>
      <color indexed="24"/>
      <name val="Arial"/>
      <family val="2"/>
    </font>
    <font>
      <b/>
      <sz val="12"/>
      <name val="Arial"/>
      <family val="2"/>
    </font>
    <font>
      <sz val="8"/>
      <color indexed="24"/>
      <name val="Arial"/>
      <family val="2"/>
    </font>
    <font>
      <sz val="11"/>
      <name val="Times New Roman"/>
      <family val="1"/>
    </font>
    <font>
      <sz val="18"/>
      <color theme="3"/>
      <name val="Cambria"/>
      <family val="2"/>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theme="0"/>
      </bottom>
      <diagonal/>
    </border>
    <border>
      <left style="thin">
        <color auto="1"/>
      </left>
      <right/>
      <top style="thin">
        <color auto="1"/>
      </top>
      <bottom/>
      <diagonal/>
    </border>
    <border>
      <left style="medium">
        <color indexed="64"/>
      </left>
      <right style="thin">
        <color indexed="64"/>
      </right>
      <top style="thin">
        <color theme="0"/>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theme="0"/>
      </bottom>
      <diagonal/>
    </border>
    <border>
      <left/>
      <right/>
      <top style="thin">
        <color indexed="64"/>
      </top>
      <bottom style="thin">
        <color theme="0"/>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theme="0"/>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style="thin">
        <color auto="1"/>
      </top>
      <bottom/>
      <diagonal/>
    </border>
    <border>
      <left style="medium">
        <color indexed="64"/>
      </left>
      <right style="thin">
        <color indexed="64"/>
      </right>
      <top style="thin">
        <color theme="0"/>
      </top>
      <bottom style="thin">
        <color theme="0"/>
      </bottom>
      <diagonal/>
    </border>
    <border>
      <left style="medium">
        <color indexed="64"/>
      </left>
      <right style="thin">
        <color indexed="64"/>
      </right>
      <top style="thin">
        <color theme="0"/>
      </top>
      <bottom style="thin">
        <color indexed="64"/>
      </bottom>
      <diagonal/>
    </border>
    <border>
      <left style="thin">
        <color indexed="64"/>
      </left>
      <right/>
      <top style="thin">
        <color theme="0"/>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theme="0"/>
      </left>
      <right style="medium">
        <color theme="0"/>
      </right>
      <top style="thin">
        <color theme="0"/>
      </top>
      <bottom style="thin">
        <color theme="0"/>
      </bottom>
      <diagonal/>
    </border>
    <border>
      <left/>
      <right/>
      <top style="thin">
        <color theme="0"/>
      </top>
      <bottom style="thin">
        <color theme="0"/>
      </bottom>
      <diagonal/>
    </border>
    <border>
      <left/>
      <right style="medium">
        <color theme="0"/>
      </right>
      <top style="thin">
        <color theme="0"/>
      </top>
      <bottom style="thin">
        <color theme="0"/>
      </bottom>
      <diagonal/>
    </border>
    <border>
      <left/>
      <right/>
      <top style="thin">
        <color indexed="0"/>
      </top>
      <bottom style="double">
        <color indexed="0"/>
      </bottom>
      <diagonal/>
    </border>
    <border>
      <left/>
      <right/>
      <top style="double">
        <color indexed="64"/>
      </top>
      <bottom/>
      <diagonal/>
    </border>
  </borders>
  <cellStyleXfs count="123">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0" fontId="14" fillId="0" borderId="0" applyNumberFormat="0" applyFill="0" applyBorder="0" applyAlignment="0" applyProtection="0">
      <alignment vertical="top"/>
      <protection locked="0"/>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3" fontId="12" fillId="0" borderId="0" applyFont="0" applyFill="0" applyBorder="0" applyAlignment="0" applyProtection="0"/>
    <xf numFmtId="3" fontId="12" fillId="0" borderId="0" applyFont="0" applyFill="0" applyBorder="0" applyAlignment="0" applyProtection="0"/>
    <xf numFmtId="3" fontId="12" fillId="0" borderId="0" applyFont="0" applyFill="0" applyBorder="0" applyAlignment="0" applyProtection="0"/>
    <xf numFmtId="3" fontId="16" fillId="0" borderId="0" applyFont="0" applyFill="0" applyBorder="0" applyAlignment="0" applyProtection="0"/>
    <xf numFmtId="174" fontId="16" fillId="0" borderId="0" applyFont="0" applyFill="0" applyBorder="0" applyAlignment="0" applyProtection="0"/>
    <xf numFmtId="44"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175" fontId="16" fillId="0" borderId="0" applyFont="0" applyFill="0" applyBorder="0" applyAlignment="0" applyProtection="0"/>
    <xf numFmtId="0" fontId="17" fillId="0" borderId="0" applyProtection="0"/>
    <xf numFmtId="0" fontId="17" fillId="0" borderId="0" applyProtection="0"/>
    <xf numFmtId="0" fontId="17" fillId="0" borderId="0" applyProtection="0"/>
    <xf numFmtId="0" fontId="16" fillId="0" borderId="0" applyFont="0" applyFill="0" applyBorder="0" applyAlignment="0" applyProtection="0"/>
    <xf numFmtId="2" fontId="17" fillId="0" borderId="0" applyProtection="0"/>
    <xf numFmtId="2" fontId="17" fillId="0" borderId="0" applyProtection="0"/>
    <xf numFmtId="2" fontId="17" fillId="0" borderId="0" applyProtection="0"/>
    <xf numFmtId="2" fontId="16" fillId="0" borderId="0" applyFont="0" applyFill="0" applyBorder="0" applyAlignment="0" applyProtection="0"/>
    <xf numFmtId="0" fontId="18" fillId="0" borderId="0" applyNumberFormat="0" applyFont="0" applyFill="0" applyAlignment="0" applyProtection="0"/>
    <xf numFmtId="0" fontId="18" fillId="0" borderId="0" applyNumberFormat="0" applyFont="0" applyFill="0" applyAlignment="0" applyProtection="0"/>
    <xf numFmtId="0" fontId="18" fillId="0" borderId="0" applyNumberFormat="0" applyFont="0" applyFill="0" applyAlignment="0" applyProtection="0"/>
    <xf numFmtId="0" fontId="18" fillId="0" borderId="0" applyNumberFormat="0" applyFont="0" applyFill="0" applyAlignment="0" applyProtection="0"/>
    <xf numFmtId="0" fontId="19" fillId="0" borderId="0" applyNumberFormat="0" applyFill="0" applyBorder="0" applyAlignment="0" applyProtection="0"/>
    <xf numFmtId="0" fontId="20" fillId="0" borderId="0" applyNumberFormat="0" applyFont="0" applyFill="0" applyAlignment="0" applyProtection="0"/>
    <xf numFmtId="0" fontId="20" fillId="0" borderId="0" applyNumberFormat="0" applyFont="0" applyFill="0" applyAlignment="0" applyProtection="0"/>
    <xf numFmtId="0" fontId="20" fillId="0" borderId="0" applyNumberFormat="0" applyFont="0" applyFill="0" applyAlignment="0" applyProtection="0"/>
    <xf numFmtId="0" fontId="20" fillId="0" borderId="0" applyNumberFormat="0" applyFont="0" applyFill="0" applyAlignment="0" applyProtection="0"/>
    <xf numFmtId="0" fontId="21" fillId="0" borderId="0" applyNumberFormat="0" applyFill="0" applyBorder="0" applyAlignment="0" applyProtection="0"/>
    <xf numFmtId="0" fontId="18" fillId="0" borderId="0" applyProtection="0"/>
    <xf numFmtId="0" fontId="18" fillId="0" borderId="0" applyProtection="0"/>
    <xf numFmtId="0" fontId="18" fillId="0" borderId="0" applyProtection="0"/>
    <xf numFmtId="0" fontId="20" fillId="0" borderId="0" applyProtection="0"/>
    <xf numFmtId="0" fontId="20" fillId="0" borderId="0" applyProtection="0"/>
    <xf numFmtId="0" fontId="20" fillId="0" borderId="0" applyProtection="0"/>
    <xf numFmtId="0" fontId="12" fillId="0" borderId="0"/>
    <xf numFmtId="0" fontId="12" fillId="0" borderId="0"/>
    <xf numFmtId="0" fontId="1"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6" fillId="0" borderId="0"/>
    <xf numFmtId="0" fontId="16" fillId="0" borderId="0"/>
    <xf numFmtId="0" fontId="16"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0" fontId="16" fillId="0" borderId="0" applyFont="0" applyFill="0" applyBorder="0" applyAlignment="0" applyProtection="0"/>
    <xf numFmtId="0" fontId="23" fillId="0" borderId="0" applyNumberFormat="0" applyFill="0" applyBorder="0" applyAlignment="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7" fillId="0" borderId="50" applyProtection="0"/>
    <xf numFmtId="0" fontId="16" fillId="0" borderId="51" applyNumberFormat="0" applyFont="0" applyFill="0" applyAlignment="0" applyProtection="0"/>
  </cellStyleXfs>
  <cellXfs count="147">
    <xf numFmtId="0" fontId="0" fillId="0" borderId="0" xfId="0"/>
    <xf numFmtId="0" fontId="0" fillId="0" borderId="0" xfId="0" applyAlignment="1">
      <alignment horizontal="left"/>
    </xf>
    <xf numFmtId="0" fontId="0" fillId="0" borderId="0" xfId="0" applyNumberFormat="1"/>
    <xf numFmtId="0" fontId="0" fillId="0" borderId="1" xfId="0" applyBorder="1"/>
    <xf numFmtId="0" fontId="0" fillId="0" borderId="2" xfId="0" applyBorder="1"/>
    <xf numFmtId="0" fontId="2" fillId="0" borderId="0" xfId="0" applyFont="1"/>
    <xf numFmtId="9" fontId="0" fillId="0" borderId="0" xfId="2" applyFont="1"/>
    <xf numFmtId="164" fontId="0" fillId="0" borderId="0" xfId="0" applyNumberFormat="1"/>
    <xf numFmtId="0" fontId="0" fillId="0" borderId="0" xfId="0" applyAlignment="1">
      <alignment wrapText="1"/>
    </xf>
    <xf numFmtId="0" fontId="4" fillId="0" borderId="3" xfId="0" applyFont="1" applyBorder="1"/>
    <xf numFmtId="0" fontId="4" fillId="0" borderId="0" xfId="0" applyFont="1"/>
    <xf numFmtId="0" fontId="4" fillId="0" borderId="6" xfId="0" applyFont="1" applyBorder="1"/>
    <xf numFmtId="0" fontId="4" fillId="0" borderId="7" xfId="0" applyFont="1" applyBorder="1"/>
    <xf numFmtId="0" fontId="4" fillId="0" borderId="8" xfId="0" applyFont="1" applyBorder="1"/>
    <xf numFmtId="0" fontId="4" fillId="2" borderId="9" xfId="0" applyFont="1" applyFill="1" applyBorder="1"/>
    <xf numFmtId="0" fontId="4" fillId="2" borderId="10" xfId="0" applyFont="1" applyFill="1" applyBorder="1"/>
    <xf numFmtId="0" fontId="4" fillId="2" borderId="11" xfId="0" applyFont="1" applyFill="1" applyBorder="1"/>
    <xf numFmtId="0" fontId="4" fillId="2" borderId="12" xfId="0" applyFont="1" applyFill="1" applyBorder="1"/>
    <xf numFmtId="0" fontId="4" fillId="2" borderId="0" xfId="0" applyFont="1" applyFill="1" applyBorder="1"/>
    <xf numFmtId="0" fontId="4" fillId="2" borderId="13" xfId="0" applyFont="1" applyFill="1" applyBorder="1"/>
    <xf numFmtId="0" fontId="4" fillId="2" borderId="14" xfId="0" applyFont="1" applyFill="1" applyBorder="1"/>
    <xf numFmtId="0" fontId="4" fillId="2" borderId="15" xfId="0" applyFont="1" applyFill="1" applyBorder="1"/>
    <xf numFmtId="0" fontId="4" fillId="0" borderId="16" xfId="0" applyFont="1" applyBorder="1"/>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xf numFmtId="0" fontId="4" fillId="2" borderId="21" xfId="0" applyFont="1" applyFill="1" applyBorder="1"/>
    <xf numFmtId="0" fontId="4" fillId="2" borderId="22" xfId="0" applyFont="1" applyFill="1" applyBorder="1" applyAlignment="1">
      <alignment horizontal="center"/>
    </xf>
    <xf numFmtId="0" fontId="4" fillId="2" borderId="12" xfId="0" applyFont="1" applyFill="1" applyBorder="1" applyAlignment="1">
      <alignment horizontal="center"/>
    </xf>
    <xf numFmtId="0" fontId="4" fillId="0" borderId="13" xfId="0" applyFont="1" applyBorder="1" applyAlignment="1">
      <alignment horizontal="center" vertical="center"/>
    </xf>
    <xf numFmtId="0" fontId="4" fillId="2" borderId="23" xfId="0" applyFont="1" applyFill="1" applyBorder="1"/>
    <xf numFmtId="0" fontId="4" fillId="2" borderId="24" xfId="0" applyFont="1" applyFill="1" applyBorder="1" applyAlignment="1">
      <alignment horizontal="center"/>
    </xf>
    <xf numFmtId="1" fontId="4" fillId="0" borderId="13" xfId="0" applyNumberFormat="1" applyFont="1" applyBorder="1" applyAlignment="1">
      <alignment horizontal="center" vertical="center"/>
    </xf>
    <xf numFmtId="0" fontId="4" fillId="2" borderId="25" xfId="0" applyFont="1" applyFill="1" applyBorder="1"/>
    <xf numFmtId="0" fontId="4" fillId="2" borderId="0" xfId="0" applyFont="1" applyFill="1" applyBorder="1" applyAlignment="1">
      <alignment horizontal="center"/>
    </xf>
    <xf numFmtId="2" fontId="4" fillId="2" borderId="12" xfId="0" applyNumberFormat="1" applyFont="1" applyFill="1" applyBorder="1" applyAlignment="1">
      <alignment horizontal="center"/>
    </xf>
    <xf numFmtId="2" fontId="4" fillId="2" borderId="12" xfId="0" applyNumberFormat="1" applyFont="1" applyFill="1" applyBorder="1" applyAlignment="1">
      <alignment horizontal="center" vertical="center"/>
    </xf>
    <xf numFmtId="2" fontId="4" fillId="0" borderId="13" xfId="0" applyNumberFormat="1" applyFont="1" applyBorder="1" applyAlignment="1">
      <alignment horizontal="center" vertical="center"/>
    </xf>
    <xf numFmtId="0" fontId="4" fillId="2" borderId="25" xfId="0" applyFont="1" applyFill="1" applyBorder="1" applyAlignment="1">
      <alignment wrapText="1"/>
    </xf>
    <xf numFmtId="9" fontId="4" fillId="2" borderId="12" xfId="2" applyFont="1" applyFill="1" applyBorder="1" applyAlignment="1">
      <alignment horizontal="center" vertical="center"/>
    </xf>
    <xf numFmtId="9" fontId="4" fillId="0" borderId="13" xfId="2" applyFont="1" applyBorder="1" applyAlignment="1">
      <alignment horizontal="center" vertical="center"/>
    </xf>
    <xf numFmtId="0" fontId="4" fillId="0" borderId="12" xfId="0" applyFont="1" applyBorder="1" applyAlignment="1">
      <alignment horizontal="center" vertical="center"/>
    </xf>
    <xf numFmtId="2" fontId="4" fillId="0" borderId="12" xfId="0" applyNumberFormat="1" applyFont="1" applyBorder="1" applyAlignment="1">
      <alignment horizontal="center" vertical="center"/>
    </xf>
    <xf numFmtId="165" fontId="4" fillId="2" borderId="12" xfId="0" applyNumberFormat="1" applyFont="1" applyFill="1" applyBorder="1" applyAlignment="1">
      <alignment horizontal="center"/>
    </xf>
    <xf numFmtId="166" fontId="9" fillId="0" borderId="12" xfId="0" applyNumberFormat="1" applyFont="1" applyFill="1" applyBorder="1" applyAlignment="1">
      <alignment horizontal="center"/>
    </xf>
    <xf numFmtId="165" fontId="9" fillId="0" borderId="12" xfId="0" applyNumberFormat="1" applyFont="1" applyFill="1" applyBorder="1" applyAlignment="1">
      <alignment horizontal="center"/>
    </xf>
    <xf numFmtId="3" fontId="4" fillId="2" borderId="12" xfId="0" applyNumberFormat="1" applyFont="1" applyFill="1" applyBorder="1" applyAlignment="1">
      <alignment horizontal="center"/>
    </xf>
    <xf numFmtId="0" fontId="4" fillId="0" borderId="26" xfId="0" applyFont="1" applyFill="1" applyBorder="1"/>
    <xf numFmtId="0" fontId="4" fillId="0" borderId="27" xfId="0" applyFont="1" applyFill="1" applyBorder="1" applyAlignment="1">
      <alignment horizontal="center" wrapText="1"/>
    </xf>
    <xf numFmtId="167" fontId="9" fillId="2" borderId="22" xfId="0" applyNumberFormat="1" applyFont="1" applyFill="1" applyBorder="1" applyAlignment="1">
      <alignment horizontal="center"/>
    </xf>
    <xf numFmtId="167" fontId="4" fillId="0" borderId="28" xfId="0" applyNumberFormat="1" applyFont="1" applyBorder="1"/>
    <xf numFmtId="167" fontId="4" fillId="0" borderId="29" xfId="0" applyNumberFormat="1" applyFont="1" applyBorder="1"/>
    <xf numFmtId="0" fontId="4" fillId="0" borderId="30" xfId="0" applyFont="1" applyBorder="1"/>
    <xf numFmtId="0" fontId="4" fillId="0" borderId="31" xfId="0" applyFont="1" applyFill="1" applyBorder="1" applyAlignment="1">
      <alignment horizontal="center" wrapText="1"/>
    </xf>
    <xf numFmtId="0" fontId="5" fillId="2" borderId="32" xfId="0" applyFont="1" applyFill="1" applyBorder="1" applyAlignment="1">
      <alignment horizontal="center"/>
    </xf>
    <xf numFmtId="0" fontId="4" fillId="0" borderId="33" xfId="0" applyFont="1" applyBorder="1"/>
    <xf numFmtId="0" fontId="4" fillId="0" borderId="26" xfId="0" applyFont="1" applyBorder="1"/>
    <xf numFmtId="0" fontId="4" fillId="2" borderId="34" xfId="0" applyFont="1" applyFill="1" applyBorder="1" applyAlignment="1">
      <alignment horizontal="center"/>
    </xf>
    <xf numFmtId="0" fontId="5" fillId="2" borderId="12" xfId="0" applyFont="1" applyFill="1" applyBorder="1" applyAlignment="1">
      <alignment horizontal="center"/>
    </xf>
    <xf numFmtId="0" fontId="4" fillId="0" borderId="13" xfId="0" applyFont="1" applyBorder="1"/>
    <xf numFmtId="0" fontId="4" fillId="0" borderId="35" xfId="0" applyFont="1" applyFill="1" applyBorder="1"/>
    <xf numFmtId="0" fontId="9" fillId="2" borderId="0" xfId="0" applyFont="1" applyFill="1" applyBorder="1" applyAlignment="1">
      <alignment horizontal="center"/>
    </xf>
    <xf numFmtId="0" fontId="4" fillId="0" borderId="36" xfId="0" applyFont="1" applyFill="1" applyBorder="1"/>
    <xf numFmtId="168" fontId="4" fillId="2" borderId="37" xfId="0" applyNumberFormat="1" applyFont="1" applyFill="1" applyBorder="1" applyAlignment="1">
      <alignment horizontal="center"/>
    </xf>
    <xf numFmtId="0" fontId="5" fillId="2" borderId="38" xfId="0" applyFont="1" applyFill="1" applyBorder="1" applyAlignment="1">
      <alignment horizontal="center"/>
    </xf>
    <xf numFmtId="0" fontId="5" fillId="0" borderId="39" xfId="0" applyFont="1" applyFill="1" applyBorder="1"/>
    <xf numFmtId="0" fontId="5" fillId="0" borderId="40" xfId="0" applyFont="1" applyFill="1" applyBorder="1"/>
    <xf numFmtId="169" fontId="5" fillId="0" borderId="39" xfId="0" applyNumberFormat="1" applyFont="1" applyFill="1" applyBorder="1" applyAlignment="1">
      <alignment horizontal="center"/>
    </xf>
    <xf numFmtId="0" fontId="4" fillId="2" borderId="29" xfId="0" applyFont="1" applyFill="1" applyBorder="1" applyAlignment="1">
      <alignment horizontal="center" vertical="center" wrapText="1"/>
    </xf>
    <xf numFmtId="0" fontId="4" fillId="0" borderId="22" xfId="0" applyFont="1" applyBorder="1" applyAlignment="1">
      <alignment horizontal="center" wrapText="1"/>
    </xf>
    <xf numFmtId="169" fontId="4" fillId="0" borderId="41" xfId="0" applyNumberFormat="1" applyFont="1" applyFill="1" applyBorder="1" applyAlignment="1">
      <alignment horizontal="center"/>
    </xf>
    <xf numFmtId="0" fontId="4" fillId="2" borderId="42" xfId="0" applyFont="1" applyFill="1" applyBorder="1"/>
    <xf numFmtId="0" fontId="4" fillId="2" borderId="43" xfId="0" applyFont="1" applyFill="1" applyBorder="1"/>
    <xf numFmtId="169" fontId="4" fillId="2" borderId="12" xfId="0" applyNumberFormat="1" applyFont="1" applyFill="1" applyBorder="1" applyAlignment="1">
      <alignment horizontal="center"/>
    </xf>
    <xf numFmtId="49" fontId="4" fillId="2" borderId="0" xfId="0" applyNumberFormat="1" applyFont="1" applyFill="1" applyBorder="1" applyAlignment="1">
      <alignment horizontal="center" wrapText="1"/>
    </xf>
    <xf numFmtId="0" fontId="4" fillId="2" borderId="42" xfId="0" applyFont="1" applyFill="1" applyBorder="1" applyAlignment="1">
      <alignment horizontal="center"/>
    </xf>
    <xf numFmtId="169" fontId="4" fillId="2" borderId="42" xfId="0" applyNumberFormat="1" applyFont="1" applyFill="1" applyBorder="1" applyAlignment="1">
      <alignment horizontal="center"/>
    </xf>
    <xf numFmtId="169" fontId="4" fillId="0" borderId="12" xfId="0" applyNumberFormat="1" applyFont="1" applyFill="1" applyBorder="1" applyAlignment="1">
      <alignment horizontal="center"/>
    </xf>
    <xf numFmtId="0" fontId="4" fillId="0" borderId="0" xfId="0" applyFont="1" applyBorder="1"/>
    <xf numFmtId="2" fontId="4" fillId="0" borderId="12" xfId="0" applyNumberFormat="1" applyFont="1" applyFill="1" applyBorder="1" applyAlignment="1">
      <alignment horizontal="center"/>
    </xf>
    <xf numFmtId="3" fontId="4" fillId="0" borderId="12" xfId="0" applyNumberFormat="1" applyFont="1" applyFill="1" applyBorder="1" applyAlignment="1">
      <alignment horizontal="center"/>
    </xf>
    <xf numFmtId="0" fontId="4" fillId="0" borderId="25" xfId="0" applyFont="1" applyBorder="1"/>
    <xf numFmtId="0" fontId="4" fillId="0" borderId="24" xfId="0" applyFont="1" applyBorder="1" applyAlignment="1">
      <alignment horizontal="center" wrapText="1"/>
    </xf>
    <xf numFmtId="4" fontId="9" fillId="0" borderId="12" xfId="0" applyNumberFormat="1" applyFont="1" applyFill="1" applyBorder="1" applyAlignment="1">
      <alignment horizontal="center"/>
    </xf>
    <xf numFmtId="170" fontId="9" fillId="0" borderId="12" xfId="0" applyNumberFormat="1" applyFont="1" applyFill="1" applyBorder="1" applyAlignment="1">
      <alignment horizontal="center"/>
    </xf>
    <xf numFmtId="0" fontId="0" fillId="0" borderId="0" xfId="0" applyAlignment="1">
      <alignment horizontal="center" vertical="center"/>
    </xf>
    <xf numFmtId="4" fontId="4" fillId="0" borderId="12" xfId="0" applyNumberFormat="1" applyFont="1" applyFill="1" applyBorder="1" applyAlignment="1">
      <alignment horizontal="center"/>
    </xf>
    <xf numFmtId="0" fontId="0" fillId="0" borderId="0" xfId="0" applyAlignment="1">
      <alignment horizontal="center"/>
    </xf>
    <xf numFmtId="0" fontId="4" fillId="0" borderId="24" xfId="0" applyFont="1" applyBorder="1" applyAlignment="1">
      <alignment horizontal="center"/>
    </xf>
    <xf numFmtId="0" fontId="5" fillId="2" borderId="44" xfId="0" applyFont="1" applyFill="1" applyBorder="1"/>
    <xf numFmtId="0" fontId="5" fillId="2" borderId="45" xfId="0" applyFont="1" applyFill="1" applyBorder="1" applyAlignment="1">
      <alignment horizontal="center"/>
    </xf>
    <xf numFmtId="169" fontId="5" fillId="2" borderId="42" xfId="0" applyNumberFormat="1" applyFont="1" applyFill="1" applyBorder="1" applyAlignment="1">
      <alignment horizontal="center"/>
    </xf>
    <xf numFmtId="0" fontId="5" fillId="2" borderId="14" xfId="0" applyFont="1" applyFill="1" applyBorder="1"/>
    <xf numFmtId="0" fontId="5" fillId="2" borderId="15" xfId="0" applyFont="1" applyFill="1" applyBorder="1" applyAlignment="1">
      <alignment horizontal="center"/>
    </xf>
    <xf numFmtId="169" fontId="5" fillId="2" borderId="14" xfId="0" applyNumberFormat="1" applyFont="1" applyFill="1" applyBorder="1" applyAlignment="1">
      <alignment horizontal="center"/>
    </xf>
    <xf numFmtId="0" fontId="4" fillId="2" borderId="30" xfId="0" applyFont="1" applyFill="1" applyBorder="1"/>
    <xf numFmtId="2" fontId="4" fillId="2" borderId="38" xfId="0" applyNumberFormat="1" applyFont="1" applyFill="1" applyBorder="1" applyAlignment="1">
      <alignment horizontal="center"/>
    </xf>
    <xf numFmtId="0" fontId="5" fillId="2" borderId="29" xfId="0" applyFont="1" applyFill="1" applyBorder="1" applyAlignment="1">
      <alignment wrapText="1"/>
    </xf>
    <xf numFmtId="0" fontId="5" fillId="2" borderId="22" xfId="0" applyFont="1" applyFill="1" applyBorder="1" applyAlignment="1">
      <alignment horizontal="center"/>
    </xf>
    <xf numFmtId="169" fontId="6" fillId="2" borderId="41" xfId="0" applyNumberFormat="1" applyFont="1" applyFill="1" applyBorder="1" applyAlignment="1">
      <alignment horizontal="center"/>
    </xf>
    <xf numFmtId="0" fontId="5" fillId="2" borderId="39" xfId="0" applyFont="1" applyFill="1" applyBorder="1"/>
    <xf numFmtId="0" fontId="5" fillId="2" borderId="40" xfId="0" applyFont="1" applyFill="1" applyBorder="1" applyAlignment="1">
      <alignment horizontal="center"/>
    </xf>
    <xf numFmtId="169" fontId="11" fillId="2" borderId="39" xfId="0" applyNumberFormat="1" applyFont="1" applyFill="1" applyBorder="1" applyAlignment="1">
      <alignment horizontal="center"/>
    </xf>
    <xf numFmtId="0" fontId="11" fillId="0" borderId="9" xfId="3" applyFont="1" applyBorder="1" applyAlignment="1"/>
    <xf numFmtId="0" fontId="12" fillId="0" borderId="46" xfId="3" applyBorder="1" applyAlignment="1"/>
    <xf numFmtId="171" fontId="9" fillId="0" borderId="11" xfId="0" applyNumberFormat="1" applyFont="1" applyFill="1" applyBorder="1" applyAlignment="1">
      <alignment horizontal="center"/>
    </xf>
    <xf numFmtId="166" fontId="11" fillId="2" borderId="0" xfId="0" applyNumberFormat="1" applyFont="1" applyFill="1" applyBorder="1" applyAlignment="1">
      <alignment horizontal="center"/>
    </xf>
    <xf numFmtId="0" fontId="10" fillId="0" borderId="12" xfId="3" applyFont="1" applyBorder="1" applyAlignment="1">
      <alignment horizontal="left" indent="2"/>
    </xf>
    <xf numFmtId="0" fontId="12" fillId="0" borderId="0" xfId="3" applyBorder="1" applyAlignment="1"/>
    <xf numFmtId="3" fontId="9" fillId="0" borderId="13" xfId="3" applyNumberFormat="1" applyFont="1" applyBorder="1" applyAlignment="1">
      <alignment horizontal="center"/>
    </xf>
    <xf numFmtId="172" fontId="9" fillId="0" borderId="13" xfId="3" applyNumberFormat="1" applyFont="1" applyBorder="1" applyAlignment="1">
      <alignment horizontal="center"/>
    </xf>
    <xf numFmtId="9" fontId="9" fillId="0" borderId="13" xfId="2" applyFont="1" applyBorder="1" applyAlignment="1">
      <alignment horizontal="center"/>
    </xf>
    <xf numFmtId="0" fontId="10" fillId="3" borderId="12" xfId="3" applyFont="1" applyFill="1" applyBorder="1" applyAlignment="1">
      <alignment horizontal="left" indent="2"/>
    </xf>
    <xf numFmtId="0" fontId="12" fillId="3" borderId="0" xfId="3" applyFill="1" applyBorder="1" applyAlignment="1"/>
    <xf numFmtId="1" fontId="9" fillId="3" borderId="13" xfId="3" applyNumberFormat="1" applyFont="1" applyFill="1" applyBorder="1" applyAlignment="1">
      <alignment horizontal="center"/>
    </xf>
    <xf numFmtId="164" fontId="9" fillId="3" borderId="13" xfId="3" applyNumberFormat="1" applyFont="1" applyFill="1" applyBorder="1" applyAlignment="1">
      <alignment horizontal="center"/>
    </xf>
    <xf numFmtId="1" fontId="9" fillId="0" borderId="13" xfId="3" applyNumberFormat="1" applyFont="1" applyBorder="1" applyAlignment="1">
      <alignment horizontal="center"/>
    </xf>
    <xf numFmtId="0" fontId="11" fillId="2" borderId="14" xfId="0" applyFont="1" applyFill="1" applyBorder="1" applyAlignment="1">
      <alignment horizontal="left" indent="2"/>
    </xf>
    <xf numFmtId="165" fontId="10" fillId="2" borderId="16" xfId="0" applyNumberFormat="1" applyFont="1" applyFill="1" applyBorder="1" applyAlignment="1">
      <alignment horizontal="center"/>
    </xf>
    <xf numFmtId="0" fontId="11" fillId="2" borderId="0" xfId="0" applyFont="1" applyFill="1" applyBorder="1" applyAlignment="1">
      <alignment horizontal="left" indent="2"/>
    </xf>
    <xf numFmtId="0" fontId="5" fillId="2" borderId="0" xfId="0" applyFont="1" applyFill="1" applyBorder="1" applyAlignment="1">
      <alignment horizontal="center"/>
    </xf>
    <xf numFmtId="165" fontId="5" fillId="2" borderId="0" xfId="0" applyNumberFormat="1" applyFont="1" applyFill="1" applyBorder="1" applyAlignment="1">
      <alignment horizontal="center"/>
    </xf>
    <xf numFmtId="0" fontId="4" fillId="0" borderId="47" xfId="0" applyFont="1" applyBorder="1"/>
    <xf numFmtId="0" fontId="4" fillId="0" borderId="6" xfId="0" applyFont="1" applyBorder="1" applyAlignment="1">
      <alignment vertical="top"/>
    </xf>
    <xf numFmtId="0" fontId="4" fillId="0" borderId="6" xfId="0" applyFont="1" applyBorder="1" applyAlignment="1">
      <alignment vertical="top" wrapText="1"/>
    </xf>
    <xf numFmtId="0" fontId="4" fillId="0" borderId="49" xfId="0" applyFont="1" applyFill="1" applyBorder="1" applyAlignment="1">
      <alignment vertical="top" wrapText="1"/>
    </xf>
    <xf numFmtId="0" fontId="4" fillId="0" borderId="0" xfId="0" applyFont="1" applyAlignment="1">
      <alignment vertical="top"/>
    </xf>
    <xf numFmtId="0" fontId="15" fillId="0" borderId="0" xfId="4" applyFont="1" applyAlignment="1" applyProtection="1"/>
    <xf numFmtId="0" fontId="4" fillId="0" borderId="0" xfId="0" applyFont="1" applyAlignment="1">
      <alignment horizontal="right"/>
    </xf>
    <xf numFmtId="3" fontId="0" fillId="0" borderId="0" xfId="0" applyNumberFormat="1"/>
    <xf numFmtId="173" fontId="0" fillId="0" borderId="1" xfId="1" applyNumberFormat="1" applyFont="1" applyBorder="1"/>
    <xf numFmtId="1" fontId="0" fillId="0" borderId="1" xfId="0" applyNumberFormat="1" applyBorder="1"/>
    <xf numFmtId="43" fontId="0" fillId="0" borderId="1" xfId="0" applyNumberFormat="1" applyBorder="1"/>
    <xf numFmtId="173" fontId="0" fillId="0" borderId="0" xfId="1" applyNumberFormat="1" applyFont="1" applyBorder="1"/>
    <xf numFmtId="0" fontId="0" fillId="0" borderId="0" xfId="0" applyBorder="1"/>
    <xf numFmtId="1" fontId="0" fillId="0" borderId="0" xfId="0" applyNumberFormat="1" applyBorder="1"/>
    <xf numFmtId="43" fontId="0" fillId="0" borderId="0" xfId="0" applyNumberFormat="1" applyBorder="1"/>
    <xf numFmtId="10" fontId="0" fillId="0" borderId="0" xfId="0" applyNumberFormat="1"/>
    <xf numFmtId="0" fontId="4" fillId="0" borderId="6" xfId="0" applyFont="1" applyBorder="1" applyAlignment="1">
      <alignment horizontal="left" vertical="top" wrapText="1"/>
    </xf>
    <xf numFmtId="0" fontId="5" fillId="0" borderId="4" xfId="0" applyFont="1" applyBorder="1" applyAlignment="1">
      <alignment horizontal="center"/>
    </xf>
    <xf numFmtId="0" fontId="5" fillId="0" borderId="5" xfId="0" applyFont="1" applyBorder="1" applyAlignment="1">
      <alignment horizontal="center"/>
    </xf>
    <xf numFmtId="0" fontId="4" fillId="0" borderId="11" xfId="0" applyFont="1" applyBorder="1" applyAlignment="1">
      <alignment horizontal="center"/>
    </xf>
    <xf numFmtId="0" fontId="4" fillId="0" borderId="13" xfId="0" applyFont="1" applyBorder="1" applyAlignment="1">
      <alignment horizontal="center"/>
    </xf>
    <xf numFmtId="0" fontId="4" fillId="0" borderId="8" xfId="0" applyFont="1" applyFill="1" applyBorder="1" applyAlignment="1">
      <alignment horizontal="left" vertical="top" wrapText="1"/>
    </xf>
    <xf numFmtId="0" fontId="4" fillId="0" borderId="48" xfId="0" applyFont="1" applyFill="1" applyBorder="1" applyAlignment="1">
      <alignment horizontal="left" vertical="top" wrapText="1"/>
    </xf>
    <xf numFmtId="0" fontId="0" fillId="0" borderId="0" xfId="0" applyAlignment="1">
      <alignment horizontal="center"/>
    </xf>
  </cellXfs>
  <cellStyles count="123">
    <cellStyle name="Comma" xfId="1" builtinId="3"/>
    <cellStyle name="Comma 2" xfId="5"/>
    <cellStyle name="Comma 3" xfId="6"/>
    <cellStyle name="Comma 4" xfId="7"/>
    <cellStyle name="Comma 5" xfId="8"/>
    <cellStyle name="Comma 6" xfId="9"/>
    <cellStyle name="Comma 7" xfId="10"/>
    <cellStyle name="Comma 7 2" xfId="11"/>
    <cellStyle name="Comma0" xfId="12"/>
    <cellStyle name="Comma0 2" xfId="13"/>
    <cellStyle name="Comma0 3" xfId="14"/>
    <cellStyle name="Comma0 4" xfId="15"/>
    <cellStyle name="Currency 2" xfId="16"/>
    <cellStyle name="Currency 3" xfId="17"/>
    <cellStyle name="Currency0" xfId="18"/>
    <cellStyle name="Currency0 2" xfId="19"/>
    <cellStyle name="Currency0 3" xfId="20"/>
    <cellStyle name="Currency0 4" xfId="21"/>
    <cellStyle name="Date" xfId="22"/>
    <cellStyle name="Date 2" xfId="23"/>
    <cellStyle name="Date 3" xfId="24"/>
    <cellStyle name="Date 4" xfId="25"/>
    <cellStyle name="Fixed" xfId="26"/>
    <cellStyle name="Fixed 2" xfId="27"/>
    <cellStyle name="Fixed 3" xfId="28"/>
    <cellStyle name="Fixed 4" xfId="29"/>
    <cellStyle name="Heading 1 2" xfId="30"/>
    <cellStyle name="Heading 1 3" xfId="31"/>
    <cellStyle name="Heading 1 4" xfId="32"/>
    <cellStyle name="Heading 1 5" xfId="33"/>
    <cellStyle name="Heading 1 6" xfId="34"/>
    <cellStyle name="Heading 2 2" xfId="35"/>
    <cellStyle name="Heading 2 3" xfId="36"/>
    <cellStyle name="Heading 2 4" xfId="37"/>
    <cellStyle name="Heading 2 5" xfId="38"/>
    <cellStyle name="Heading 2 6" xfId="39"/>
    <cellStyle name="HEADING1" xfId="40"/>
    <cellStyle name="HEADING1 2" xfId="41"/>
    <cellStyle name="HEADING1 3" xfId="42"/>
    <cellStyle name="HEADING2" xfId="43"/>
    <cellStyle name="HEADING2 2" xfId="44"/>
    <cellStyle name="HEADING2 3" xfId="45"/>
    <cellStyle name="Hyperlink 2" xfId="4"/>
    <cellStyle name="Normal" xfId="0" builtinId="0"/>
    <cellStyle name="Normal 10" xfId="46"/>
    <cellStyle name="Normal 10 2" xfId="47"/>
    <cellStyle name="Normal 12" xfId="48"/>
    <cellStyle name="Normal 2" xfId="3"/>
    <cellStyle name="Normal 2 2" xfId="49"/>
    <cellStyle name="Normal 3" xfId="50"/>
    <cellStyle name="Normal 4" xfId="51"/>
    <cellStyle name="Normal 4 2" xfId="52"/>
    <cellStyle name="Normal 5" xfId="53"/>
    <cellStyle name="Normal 6" xfId="54"/>
    <cellStyle name="Normal 7" xfId="55"/>
    <cellStyle name="Normal 7 2" xfId="56"/>
    <cellStyle name="Normal 8" xfId="57"/>
    <cellStyle name="Normal 9" xfId="58"/>
    <cellStyle name="Normal 9 2" xfId="59"/>
    <cellStyle name="Percent" xfId="2" builtinId="5"/>
    <cellStyle name="Percent 2" xfId="60"/>
    <cellStyle name="Percent 3" xfId="61"/>
    <cellStyle name="Percent 4" xfId="62"/>
    <cellStyle name="Percent 5" xfId="63"/>
    <cellStyle name="Percent 5 2" xfId="64"/>
    <cellStyle name="Percent 6" xfId="65"/>
    <cellStyle name="Title 2" xfId="66"/>
    <cellStyle name="Total 2" xfId="67"/>
    <cellStyle name="Total 2 2" xfId="68"/>
    <cellStyle name="Total 2 2 2" xfId="69"/>
    <cellStyle name="Total 2 2 2 2" xfId="70"/>
    <cellStyle name="Total 2 2 3" xfId="71"/>
    <cellStyle name="Total 2 3" xfId="72"/>
    <cellStyle name="Total 2 3 2" xfId="73"/>
    <cellStyle name="Total 2 4" xfId="74"/>
    <cellStyle name="Total 2 4 2" xfId="75"/>
    <cellStyle name="Total 2 5" xfId="76"/>
    <cellStyle name="Total 2 5 2" xfId="77"/>
    <cellStyle name="Total 2 6" xfId="78"/>
    <cellStyle name="Total 2 6 2" xfId="79"/>
    <cellStyle name="Total 2 7" xfId="80"/>
    <cellStyle name="Total 2 7 2" xfId="81"/>
    <cellStyle name="Total 2 8" xfId="82"/>
    <cellStyle name="Total 2 8 2" xfId="83"/>
    <cellStyle name="Total 3" xfId="84"/>
    <cellStyle name="Total 3 2" xfId="85"/>
    <cellStyle name="Total 3 2 2" xfId="86"/>
    <cellStyle name="Total 3 2 2 2" xfId="87"/>
    <cellStyle name="Total 3 2 3" xfId="88"/>
    <cellStyle name="Total 3 3" xfId="89"/>
    <cellStyle name="Total 3 3 2" xfId="90"/>
    <cellStyle name="Total 3 4" xfId="91"/>
    <cellStyle name="Total 3 4 2" xfId="92"/>
    <cellStyle name="Total 3 5" xfId="93"/>
    <cellStyle name="Total 3 5 2" xfId="94"/>
    <cellStyle name="Total 3 6" xfId="95"/>
    <cellStyle name="Total 3 6 2" xfId="96"/>
    <cellStyle name="Total 3 7" xfId="97"/>
    <cellStyle name="Total 3 7 2" xfId="98"/>
    <cellStyle name="Total 3 8" xfId="99"/>
    <cellStyle name="Total 3 8 2" xfId="100"/>
    <cellStyle name="Total 4" xfId="101"/>
    <cellStyle name="Total 4 2" xfId="102"/>
    <cellStyle name="Total 4 2 2" xfId="103"/>
    <cellStyle name="Total 4 2 2 2" xfId="104"/>
    <cellStyle name="Total 4 2 3" xfId="105"/>
    <cellStyle name="Total 4 3" xfId="106"/>
    <cellStyle name="Total 4 3 2" xfId="107"/>
    <cellStyle name="Total 4 4" xfId="108"/>
    <cellStyle name="Total 4 4 2" xfId="109"/>
    <cellStyle name="Total 4 5" xfId="110"/>
    <cellStyle name="Total 4 5 2" xfId="111"/>
    <cellStyle name="Total 4 6" xfId="112"/>
    <cellStyle name="Total 4 6 2" xfId="113"/>
    <cellStyle name="Total 4 7" xfId="114"/>
    <cellStyle name="Total 4 7 2" xfId="115"/>
    <cellStyle name="Total 4 8" xfId="116"/>
    <cellStyle name="Total 4 8 2" xfId="117"/>
    <cellStyle name="Total 5" xfId="118"/>
    <cellStyle name="Total 5 2" xfId="119"/>
    <cellStyle name="Total 5 2 2" xfId="120"/>
    <cellStyle name="Total 5 3" xfId="121"/>
    <cellStyle name="Total 6" xfId="1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297974</xdr:colOff>
      <xdr:row>46</xdr:row>
      <xdr:rowOff>137160</xdr:rowOff>
    </xdr:to>
    <xdr:sp macro="" textlink="">
      <xdr:nvSpPr>
        <xdr:cNvPr id="2" name="TextBox 1"/>
        <xdr:cNvSpPr txBox="1"/>
      </xdr:nvSpPr>
      <xdr:spPr>
        <a:xfrm>
          <a:off x="0" y="0"/>
          <a:ext cx="6393974" cy="8900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pPr algn="ctr"/>
          <a:endParaRPr lang="en-US" sz="2400" b="1">
            <a:effectLst/>
            <a:latin typeface="Microsoft YaHei" panose="020B0503020204020204" pitchFamily="34" charset="-122"/>
            <a:ea typeface="Microsoft YaHei" panose="020B0503020204020204" pitchFamily="34" charset="-122"/>
          </a:endParaRPr>
        </a:p>
        <a:p>
          <a:pPr algn="ctr"/>
          <a:endParaRPr lang="en-US" sz="2400" b="1">
            <a:effectLst/>
            <a:latin typeface="Microsoft YaHei" panose="020B0503020204020204" pitchFamily="34" charset="-122"/>
            <a:ea typeface="Microsoft YaHei" panose="020B0503020204020204" pitchFamily="34" charset="-122"/>
          </a:endParaRPr>
        </a:p>
        <a:p>
          <a:pPr algn="ctr"/>
          <a:r>
            <a:rPr lang="en-US" sz="2400" b="1">
              <a:effectLst/>
              <a:latin typeface="Microsoft YaHei" panose="020B0503020204020204" pitchFamily="34" charset="-122"/>
              <a:ea typeface="Microsoft YaHei" panose="020B0503020204020204" pitchFamily="34" charset="-122"/>
            </a:rPr>
            <a:t>Appendix I-3</a:t>
          </a:r>
        </a:p>
        <a:p>
          <a:pPr marL="0" marR="0" algn="ctr">
            <a:spcBef>
              <a:spcPts val="0"/>
            </a:spcBef>
            <a:spcAft>
              <a:spcPts val="0"/>
            </a:spcAft>
          </a:pPr>
          <a:r>
            <a:rPr lang="en-US" sz="1100" b="1" cap="all">
              <a:effectLst/>
              <a:latin typeface="+mn-lt"/>
              <a:ea typeface="Times New Roman"/>
              <a:cs typeface="Arial"/>
            </a:rPr>
            <a:t> </a:t>
          </a:r>
          <a:endParaRPr lang="en-US" sz="1100" b="1" cap="all">
            <a:effectLst/>
            <a:latin typeface="Times New Roman"/>
            <a:ea typeface="Times New Roman"/>
            <a:cs typeface="Arial"/>
          </a:endParaRPr>
        </a:p>
        <a:p>
          <a:pPr marL="0" marR="0" algn="ctr">
            <a:spcBef>
              <a:spcPts val="0"/>
            </a:spcBef>
            <a:spcAft>
              <a:spcPts val="1200"/>
            </a:spcAft>
          </a:pPr>
          <a:r>
            <a:rPr lang="en-US" sz="2400" b="1">
              <a:effectLst/>
              <a:latin typeface="+mn-lt"/>
              <a:ea typeface="Times New Roman"/>
              <a:cs typeface="Arial"/>
            </a:rPr>
            <a:t>SWEPCO Flint</a:t>
          </a:r>
          <a:r>
            <a:rPr lang="en-US" sz="2400" b="1" baseline="0">
              <a:effectLst/>
              <a:latin typeface="+mn-lt"/>
              <a:ea typeface="Times New Roman"/>
              <a:cs typeface="Arial"/>
            </a:rPr>
            <a:t> Creek Revised Calculations</a:t>
          </a:r>
          <a:endParaRPr lang="en-US" sz="2400" b="1">
            <a:effectLst/>
            <a:latin typeface="+mn-lt"/>
            <a:ea typeface="Times New Roman"/>
            <a:cs typeface="Arial"/>
          </a:endParaRP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endParaRPr lang="en-US" sz="1200">
            <a:effectLst/>
            <a:latin typeface="Times New Roman" panose="02020603050405020304" pitchFamily="18" charset="0"/>
            <a:ea typeface="Calibri"/>
            <a:cs typeface="Times New Roman" panose="02020603050405020304" pitchFamily="18" charset="0"/>
          </a:endParaRP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Division of Environmental Quality</a:t>
          </a: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Office of Air Quality</a:t>
          </a:r>
        </a:p>
        <a:p>
          <a:endParaRPr lang="en-US" sz="1100"/>
        </a:p>
      </xdr:txBody>
    </xdr:sp>
    <xdr:clientData/>
  </xdr:twoCellAnchor>
  <xdr:twoCellAnchor>
    <xdr:from>
      <xdr:col>2</xdr:col>
      <xdr:colOff>209550</xdr:colOff>
      <xdr:row>6</xdr:row>
      <xdr:rowOff>111125</xdr:rowOff>
    </xdr:from>
    <xdr:to>
      <xdr:col>8</xdr:col>
      <xdr:colOff>200818</xdr:colOff>
      <xdr:row>15</xdr:row>
      <xdr:rowOff>187325</xdr:rowOff>
    </xdr:to>
    <xdr:pic>
      <xdr:nvPicPr>
        <xdr:cNvPr id="3" name="Picture 2" descr="EQ_Vertical_colo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775"/>
        <a:stretch/>
      </xdr:blipFill>
      <xdr:spPr bwMode="auto">
        <a:xfrm>
          <a:off x="1428750" y="1254125"/>
          <a:ext cx="3648868" cy="17907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175260</xdr:rowOff>
    </xdr:from>
    <xdr:to>
      <xdr:col>7</xdr:col>
      <xdr:colOff>99060</xdr:colOff>
      <xdr:row>48</xdr:row>
      <xdr:rowOff>123825</xdr:rowOff>
    </xdr:to>
    <xdr:sp macro="" textlink="">
      <xdr:nvSpPr>
        <xdr:cNvPr id="2" name="TextBox 1"/>
        <xdr:cNvSpPr txBox="1"/>
      </xdr:nvSpPr>
      <xdr:spPr>
        <a:xfrm>
          <a:off x="0" y="175260"/>
          <a:ext cx="4366260" cy="9483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General</a:t>
          </a:r>
        </a:p>
        <a:p>
          <a:pPr marL="0" marR="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SWEPCO used a 7% interest rate to annualize total</a:t>
          </a:r>
          <a:r>
            <a:rPr lang="en-US" sz="1100" b="0" baseline="0">
              <a:solidFill>
                <a:schemeClr val="dk1"/>
              </a:solidFill>
              <a:effectLst/>
              <a:latin typeface="+mn-lt"/>
              <a:ea typeface="+mn-ea"/>
              <a:cs typeface="+mn-cs"/>
            </a:rPr>
            <a:t> capital investment estimates for the control strategies evaluated. </a:t>
          </a:r>
          <a:r>
            <a:rPr lang="en-US" sz="1100">
              <a:solidFill>
                <a:schemeClr val="dk1"/>
              </a:solidFill>
              <a:effectLst/>
              <a:latin typeface="+mn-lt"/>
              <a:ea typeface="+mn-ea"/>
              <a:cs typeface="+mn-cs"/>
            </a:rPr>
            <a:t>This interest rate is consistent with past cost analyses for regional haze planning and the social cost of rulemaking specified in the EPA Control Cost Manual. However, EPA Region 6 has indicated that DEQ should evaluate costs annualized based on the bank prime rate consistent with EPA Control Cost Manual guidance on private investments. The EPA Control Cost Manual recommends that assessments of private cost “should be prepared using firm-specific nominal interest rates if possible, or the bank prime rate if firm-specific interest rates cannot be estimated or verified.” Therefore, DEQ has calculated the annualized capital costs using the information provided by SWEPCO and a 3.25% interest rate (bank prime rate on July 16, 2020). </a:t>
          </a:r>
          <a:endParaRPr lang="en-US">
            <a:effectLst/>
          </a:endParaRPr>
        </a:p>
        <a:p>
          <a:endParaRPr lang="en-US" sz="1100" b="1"/>
        </a:p>
        <a:p>
          <a:endParaRPr lang="en-US" sz="1100" b="1"/>
        </a:p>
        <a:p>
          <a:r>
            <a:rPr lang="en-US" sz="1100" b="1"/>
            <a:t>SNCR Cost-Effectiveness Calculations</a:t>
          </a:r>
        </a:p>
        <a:p>
          <a:r>
            <a:rPr lang="en-US" sz="1100"/>
            <a:t>To determine the</a:t>
          </a:r>
          <a:r>
            <a:rPr lang="en-US" sz="1100" baseline="0"/>
            <a:t> cost of SNCR for Flint Creek, Trinity Consultants provided escalated costs from a previous analysis. However, the costs estimated in the previous analysis were based on much higher NOx inlet rates (0.33 lb/MMBtu) than the emission baseline used to calculate emission reductions. Therefore, DEQ has calculated revised estimates based on the maximum monthly emission rate (0.20 lb/MMBTU) as the inlet emission rate.</a:t>
          </a:r>
        </a:p>
        <a:p>
          <a:endParaRPr lang="en-US" sz="1100" baseline="0"/>
        </a:p>
        <a:p>
          <a:r>
            <a:rPr lang="en-US" sz="1100" baseline="0"/>
            <a:t> In addition, SWEPCO assumed that there would be no emission reductions because EPA's FIP was based on an estimated controlled emission rate for SNCR and LNB/OFA of 0.20 lb/MMBTU. This value was in the middle of the range (0.18 - 0.23) of expected controlled emission rates provided by a vendor for SNCR plus LNB/OFA. For LNB/OFA alone, the controlled emission rate was estimated at 0.23 lb/MMBTU. This value was in the upper end of the range (0.18 - 0.23) of expected controlled emission rates provided by the vendor for LNB/OFA. </a:t>
          </a:r>
          <a:r>
            <a:rPr lang="en-US" sz="1100" baseline="0">
              <a:solidFill>
                <a:schemeClr val="dk1"/>
              </a:solidFill>
              <a:effectLst/>
              <a:latin typeface="+mn-lt"/>
              <a:ea typeface="+mn-ea"/>
              <a:cs typeface="+mn-cs"/>
            </a:rPr>
            <a:t>In practice, Flint Creek has achieved an even lower emission rate after installation of LNB/OFA (0.20 lb/MMBTU on a maximum month basis and 0.186 lb/MMBTU on an average month basis). </a:t>
          </a:r>
        </a:p>
        <a:p>
          <a:endParaRPr lang="en-US" sz="1100" baseline="0">
            <a:solidFill>
              <a:schemeClr val="dk1"/>
            </a:solidFill>
            <a:effectLst/>
            <a:latin typeface="+mn-lt"/>
            <a:ea typeface="+mn-ea"/>
            <a:cs typeface="+mn-cs"/>
          </a:endParaRPr>
        </a:p>
        <a:p>
          <a:r>
            <a:rPr lang="en-US" sz="1100" baseline="0"/>
            <a:t>The difference in control efficiency between the two estimated controlled emission rates (LNB/OFA and LNB/OFA/SNCR) is ten percent. Additionally the difference between the maximum monthly NOx emission rate during the baseline (0.20 lb/MMBTU) and the lower range of controlled emission rates provided by the vendor for LNB/OFA/SNCR (0.18 lb/MMBTU) would result in a 10% emission reduction. Therefore, an inlet emission rate of 0.20 lb/MMBTU and a control efficiency of 10%  is appropriate to use for determining costs to ensure that the system is adequately sized to accomodate maximum inlet concentrations.  </a:t>
          </a:r>
        </a:p>
        <a:p>
          <a:endParaRPr lang="en-US" sz="1100" baseline="0"/>
        </a:p>
        <a:p>
          <a:r>
            <a:rPr lang="en-US" sz="1100" baseline="0"/>
            <a:t>The difference between the average monthly emission rate during the baseline (0.186 lb/MMBTU) and a controlled emission rate of 0.18 lb/MMBTU is 3.22%. Therefore, DEQ estimates that Flint Creek could achieve a 3.22% emission reduction from baseline emissions if SNCR were installed.</a:t>
          </a:r>
        </a:p>
        <a:p>
          <a:endParaRPr lang="en-US"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43402</xdr:colOff>
      <xdr:row>73</xdr:row>
      <xdr:rowOff>57978</xdr:rowOff>
    </xdr:from>
    <xdr:to>
      <xdr:col>3</xdr:col>
      <xdr:colOff>494019</xdr:colOff>
      <xdr:row>95</xdr:row>
      <xdr:rowOff>95531</xdr:rowOff>
    </xdr:to>
    <xdr:pic>
      <xdr:nvPicPr>
        <xdr:cNvPr id="2" name="Picture 1"/>
        <xdr:cNvPicPr>
          <a:picLocks noChangeAspect="1"/>
        </xdr:cNvPicPr>
      </xdr:nvPicPr>
      <xdr:blipFill>
        <a:blip xmlns:r="http://schemas.openxmlformats.org/officeDocument/2006/relationships" r:embed="rId1"/>
        <a:stretch>
          <a:fillRect/>
        </a:stretch>
      </xdr:blipFill>
      <xdr:spPr>
        <a:xfrm>
          <a:off x="43402" y="14431203"/>
          <a:ext cx="7918217" cy="50858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eece\AppData\Local\Microsoft\Windows\INetCache\Content.Outlook\K59W2WBC\Copy%20of%20Flint%20Creek%20SCR%20and%20SNR%20Calculation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Flint Creek SNCR Cost"/>
      <sheetName val="Flint Creek SNCR $ton"/>
      <sheetName val="Flint Creek SCR $ton"/>
    </sheetNames>
    <sheetDataSet>
      <sheetData sheetId="0">
        <row r="27">
          <cell r="R27">
            <v>0.84942645365572833</v>
          </cell>
        </row>
        <row r="30">
          <cell r="R30">
            <v>2868</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13" workbookViewId="0">
      <selection activeCell="Q12" sqref="Q12"/>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30"/>
  <sheetViews>
    <sheetView workbookViewId="0">
      <selection activeCell="K47" sqref="K47"/>
    </sheetView>
  </sheetViews>
  <sheetFormatPr defaultColWidth="9.140625" defaultRowHeight="15" x14ac:dyDescent="0.25"/>
  <cols>
    <col min="17" max="17" width="32.7109375" bestFit="1" customWidth="1"/>
  </cols>
  <sheetData>
    <row r="1" spans="1:24" x14ac:dyDescent="0.25">
      <c r="A1" t="s">
        <v>3</v>
      </c>
      <c r="J1" t="s">
        <v>4</v>
      </c>
    </row>
    <row r="3" spans="1:24" x14ac:dyDescent="0.25">
      <c r="J3" s="3" t="s">
        <v>5</v>
      </c>
      <c r="K3" s="3" t="s">
        <v>6</v>
      </c>
      <c r="L3" s="3" t="s">
        <v>7</v>
      </c>
      <c r="M3" s="3" t="s">
        <v>8</v>
      </c>
      <c r="N3" s="3" t="s">
        <v>9</v>
      </c>
      <c r="O3" s="3" t="s">
        <v>10</v>
      </c>
      <c r="P3" s="3" t="s">
        <v>11</v>
      </c>
      <c r="Q3" s="3" t="s">
        <v>12</v>
      </c>
      <c r="R3" s="3" t="s">
        <v>13</v>
      </c>
      <c r="S3" s="3" t="s">
        <v>14</v>
      </c>
      <c r="T3" s="3" t="s">
        <v>15</v>
      </c>
      <c r="U3" s="3" t="s">
        <v>16</v>
      </c>
      <c r="V3" s="3" t="s">
        <v>17</v>
      </c>
      <c r="W3" s="3" t="s">
        <v>18</v>
      </c>
      <c r="X3" s="3" t="s">
        <v>19</v>
      </c>
    </row>
    <row r="4" spans="1:24" x14ac:dyDescent="0.25">
      <c r="J4" s="3" t="s">
        <v>20</v>
      </c>
      <c r="K4" s="3" t="s">
        <v>21</v>
      </c>
      <c r="L4" s="3">
        <v>6138</v>
      </c>
      <c r="M4" s="3">
        <v>1</v>
      </c>
      <c r="N4" s="3"/>
      <c r="O4" s="3">
        <v>6</v>
      </c>
      <c r="P4" s="3">
        <v>2018</v>
      </c>
      <c r="Q4" s="3" t="s">
        <v>22</v>
      </c>
      <c r="R4" s="3">
        <v>712.47</v>
      </c>
      <c r="S4" s="3">
        <v>78.697000000000003</v>
      </c>
      <c r="T4" s="3">
        <v>0.1903</v>
      </c>
      <c r="U4" s="3">
        <v>289.88900000000001</v>
      </c>
      <c r="V4" s="3">
        <v>310728.16100000002</v>
      </c>
      <c r="W4" s="3">
        <v>2962700.24</v>
      </c>
      <c r="X4" s="3">
        <v>720</v>
      </c>
    </row>
    <row r="5" spans="1:24" x14ac:dyDescent="0.25">
      <c r="J5" s="3" t="s">
        <v>20</v>
      </c>
      <c r="K5" s="3" t="s">
        <v>21</v>
      </c>
      <c r="L5" s="3">
        <v>6138</v>
      </c>
      <c r="M5" s="3">
        <v>1</v>
      </c>
      <c r="N5" s="3"/>
      <c r="O5" s="3">
        <v>7</v>
      </c>
      <c r="P5" s="3">
        <v>2018</v>
      </c>
      <c r="Q5" s="3" t="s">
        <v>22</v>
      </c>
      <c r="R5" s="3">
        <v>704.06</v>
      </c>
      <c r="S5" s="3">
        <v>80.933000000000007</v>
      </c>
      <c r="T5" s="3">
        <v>0.19389999999999999</v>
      </c>
      <c r="U5" s="3">
        <v>297.57100000000003</v>
      </c>
      <c r="V5" s="3">
        <v>315030.08</v>
      </c>
      <c r="W5" s="3">
        <v>3003730.352</v>
      </c>
      <c r="X5" s="3">
        <v>744</v>
      </c>
    </row>
    <row r="6" spans="1:24" x14ac:dyDescent="0.25">
      <c r="J6" s="3" t="s">
        <v>20</v>
      </c>
      <c r="K6" s="3" t="s">
        <v>21</v>
      </c>
      <c r="L6" s="3">
        <v>6138</v>
      </c>
      <c r="M6" s="3">
        <v>1</v>
      </c>
      <c r="N6" s="3"/>
      <c r="O6" s="3">
        <v>8</v>
      </c>
      <c r="P6" s="3">
        <v>2018</v>
      </c>
      <c r="Q6" s="3" t="s">
        <v>22</v>
      </c>
      <c r="R6" s="3">
        <v>744</v>
      </c>
      <c r="S6" s="3">
        <v>81.941999999999993</v>
      </c>
      <c r="T6" s="3">
        <v>0.19409999999999999</v>
      </c>
      <c r="U6" s="3">
        <v>309.94400000000002</v>
      </c>
      <c r="V6" s="3">
        <v>326744.09999999998</v>
      </c>
      <c r="W6" s="3">
        <v>3115403.1</v>
      </c>
      <c r="X6" s="3">
        <v>744</v>
      </c>
    </row>
    <row r="7" spans="1:24" x14ac:dyDescent="0.25">
      <c r="J7" s="3" t="s">
        <v>20</v>
      </c>
      <c r="K7" s="3" t="s">
        <v>21</v>
      </c>
      <c r="L7" s="3">
        <v>6138</v>
      </c>
      <c r="M7" s="3">
        <v>1</v>
      </c>
      <c r="N7" s="3"/>
      <c r="O7" s="3">
        <v>9</v>
      </c>
      <c r="P7" s="3">
        <v>2018</v>
      </c>
      <c r="Q7" s="3" t="s">
        <v>22</v>
      </c>
      <c r="R7" s="3">
        <v>675.2</v>
      </c>
      <c r="S7" s="3">
        <v>76.412000000000006</v>
      </c>
      <c r="T7" s="3">
        <v>0.19359999999999999</v>
      </c>
      <c r="U7" s="3">
        <v>271.56599999999997</v>
      </c>
      <c r="V7" s="3">
        <v>284854.88</v>
      </c>
      <c r="W7" s="3">
        <v>2716007.36</v>
      </c>
      <c r="X7" s="3">
        <v>720</v>
      </c>
    </row>
    <row r="8" spans="1:24" x14ac:dyDescent="0.25">
      <c r="J8" s="3" t="s">
        <v>20</v>
      </c>
      <c r="K8" s="3" t="s">
        <v>21</v>
      </c>
      <c r="L8" s="3">
        <v>6138</v>
      </c>
      <c r="M8" s="3">
        <v>1</v>
      </c>
      <c r="N8" s="3"/>
      <c r="O8" s="3">
        <v>10</v>
      </c>
      <c r="P8" s="3">
        <v>2018</v>
      </c>
      <c r="Q8" s="3" t="s">
        <v>22</v>
      </c>
      <c r="R8" s="3">
        <v>471.68</v>
      </c>
      <c r="S8" s="3">
        <v>61.868000000000002</v>
      </c>
      <c r="T8" s="3">
        <v>0.18920000000000001</v>
      </c>
      <c r="U8" s="3">
        <v>197.989</v>
      </c>
      <c r="V8" s="3">
        <v>208697.04300000001</v>
      </c>
      <c r="W8" s="3">
        <v>1989865.15</v>
      </c>
      <c r="X8" s="3">
        <v>744</v>
      </c>
    </row>
    <row r="9" spans="1:24" x14ac:dyDescent="0.25">
      <c r="J9" s="3" t="s">
        <v>20</v>
      </c>
      <c r="K9" s="3" t="s">
        <v>21</v>
      </c>
      <c r="L9" s="3">
        <v>6138</v>
      </c>
      <c r="M9" s="3">
        <v>1</v>
      </c>
      <c r="N9" s="3"/>
      <c r="O9" s="3">
        <v>11</v>
      </c>
      <c r="P9" s="3">
        <v>2018</v>
      </c>
      <c r="Q9" s="3" t="s">
        <v>22</v>
      </c>
      <c r="R9" s="3">
        <v>720</v>
      </c>
      <c r="S9" s="3">
        <v>99.289000000000001</v>
      </c>
      <c r="T9" s="3">
        <v>0.20030000000000001</v>
      </c>
      <c r="U9" s="3">
        <v>338.71499999999997</v>
      </c>
      <c r="V9" s="3">
        <v>353283.8</v>
      </c>
      <c r="W9" s="3">
        <v>3368453.6</v>
      </c>
      <c r="X9" s="3">
        <v>720</v>
      </c>
    </row>
    <row r="10" spans="1:24" x14ac:dyDescent="0.25">
      <c r="J10" s="3" t="s">
        <v>20</v>
      </c>
      <c r="K10" s="3" t="s">
        <v>21</v>
      </c>
      <c r="L10" s="3">
        <v>6138</v>
      </c>
      <c r="M10" s="3">
        <v>1</v>
      </c>
      <c r="N10" s="3"/>
      <c r="O10" s="3">
        <v>12</v>
      </c>
      <c r="P10" s="3">
        <v>2018</v>
      </c>
      <c r="Q10" s="3" t="s">
        <v>22</v>
      </c>
      <c r="R10" s="3">
        <v>744</v>
      </c>
      <c r="S10" s="3">
        <v>101.80800000000001</v>
      </c>
      <c r="T10" s="3">
        <v>0.1991</v>
      </c>
      <c r="U10" s="3">
        <v>345.06</v>
      </c>
      <c r="V10" s="3">
        <v>362414.7</v>
      </c>
      <c r="W10" s="3">
        <v>3455512</v>
      </c>
      <c r="X10" s="3">
        <v>744</v>
      </c>
    </row>
    <row r="11" spans="1:24" x14ac:dyDescent="0.25">
      <c r="J11" s="3" t="s">
        <v>20</v>
      </c>
      <c r="K11" s="3" t="s">
        <v>21</v>
      </c>
      <c r="L11" s="3">
        <v>6138</v>
      </c>
      <c r="M11" s="3">
        <v>1</v>
      </c>
      <c r="N11" s="3"/>
      <c r="O11" s="3">
        <v>1</v>
      </c>
      <c r="P11" s="3">
        <v>2019</v>
      </c>
      <c r="Q11" s="3" t="s">
        <v>22</v>
      </c>
      <c r="R11" s="3">
        <v>744</v>
      </c>
      <c r="S11" s="3">
        <v>101.249</v>
      </c>
      <c r="T11" s="3">
        <v>0.188</v>
      </c>
      <c r="U11" s="3">
        <v>327.43900000000002</v>
      </c>
      <c r="V11" s="3">
        <v>362755.6</v>
      </c>
      <c r="W11" s="3">
        <v>3458765.2</v>
      </c>
      <c r="X11" s="3">
        <v>744</v>
      </c>
    </row>
    <row r="12" spans="1:24" x14ac:dyDescent="0.25">
      <c r="J12" s="3" t="s">
        <v>20</v>
      </c>
      <c r="K12" s="3" t="s">
        <v>21</v>
      </c>
      <c r="L12" s="3">
        <v>6138</v>
      </c>
      <c r="M12" s="3">
        <v>1</v>
      </c>
      <c r="N12" s="3"/>
      <c r="O12" s="3">
        <v>2</v>
      </c>
      <c r="P12" s="3">
        <v>2019</v>
      </c>
      <c r="Q12" s="3" t="s">
        <v>22</v>
      </c>
      <c r="R12" s="3">
        <v>672</v>
      </c>
      <c r="S12" s="3">
        <v>83.995999999999995</v>
      </c>
      <c r="T12" s="3">
        <v>0.18870000000000001</v>
      </c>
      <c r="U12" s="3">
        <v>282.31700000000001</v>
      </c>
      <c r="V12" s="3">
        <v>310853.09999999998</v>
      </c>
      <c r="W12" s="3">
        <v>2963891.4</v>
      </c>
      <c r="X12" s="3">
        <v>672</v>
      </c>
    </row>
    <row r="13" spans="1:24" x14ac:dyDescent="0.25">
      <c r="J13" s="3" t="s">
        <v>20</v>
      </c>
      <c r="K13" s="3" t="s">
        <v>21</v>
      </c>
      <c r="L13" s="3">
        <v>6138</v>
      </c>
      <c r="M13" s="3">
        <v>1</v>
      </c>
      <c r="N13" s="3"/>
      <c r="O13" s="3">
        <v>3</v>
      </c>
      <c r="P13" s="3">
        <v>2019</v>
      </c>
      <c r="Q13" s="3" t="s">
        <v>22</v>
      </c>
      <c r="R13" s="3">
        <v>687.92</v>
      </c>
      <c r="S13" s="3">
        <v>79.67</v>
      </c>
      <c r="T13" s="3">
        <v>0.18509999999999999</v>
      </c>
      <c r="U13" s="3">
        <v>245.66300000000001</v>
      </c>
      <c r="V13" s="3">
        <v>278500.505</v>
      </c>
      <c r="W13" s="3">
        <v>2655415.4750000001</v>
      </c>
      <c r="X13" s="3">
        <v>744</v>
      </c>
    </row>
    <row r="14" spans="1:24" x14ac:dyDescent="0.25">
      <c r="J14" s="3" t="s">
        <v>20</v>
      </c>
      <c r="K14" s="3" t="s">
        <v>21</v>
      </c>
      <c r="L14" s="3">
        <v>6138</v>
      </c>
      <c r="M14" s="3">
        <v>1</v>
      </c>
      <c r="N14" s="3"/>
      <c r="O14" s="3">
        <v>4</v>
      </c>
      <c r="P14" s="3">
        <v>2019</v>
      </c>
      <c r="Q14" s="3" t="s">
        <v>22</v>
      </c>
      <c r="R14" s="3">
        <v>0</v>
      </c>
      <c r="S14" s="3"/>
      <c r="T14" s="3"/>
      <c r="U14" s="3"/>
      <c r="V14" s="3"/>
      <c r="W14" s="3"/>
      <c r="X14" s="3">
        <v>720</v>
      </c>
    </row>
    <row r="15" spans="1:24" x14ac:dyDescent="0.25">
      <c r="J15" s="3" t="s">
        <v>20</v>
      </c>
      <c r="K15" s="3" t="s">
        <v>21</v>
      </c>
      <c r="L15" s="3">
        <v>6138</v>
      </c>
      <c r="M15" s="3">
        <v>1</v>
      </c>
      <c r="N15" s="3"/>
      <c r="O15" s="3">
        <v>5</v>
      </c>
      <c r="P15" s="3">
        <v>2019</v>
      </c>
      <c r="Q15" s="3" t="s">
        <v>22</v>
      </c>
      <c r="R15" s="3">
        <v>569.89</v>
      </c>
      <c r="S15" s="3">
        <v>59.194000000000003</v>
      </c>
      <c r="T15" s="3">
        <v>0.18540000000000001</v>
      </c>
      <c r="U15" s="3">
        <v>206.232</v>
      </c>
      <c r="V15" s="3">
        <v>224624.11</v>
      </c>
      <c r="W15" s="3">
        <v>2141725.0109999999</v>
      </c>
      <c r="X15" s="3">
        <v>744</v>
      </c>
    </row>
    <row r="16" spans="1:24" x14ac:dyDescent="0.25">
      <c r="J16" s="3" t="s">
        <v>20</v>
      </c>
      <c r="K16" s="3" t="s">
        <v>21</v>
      </c>
      <c r="L16" s="3">
        <v>6138</v>
      </c>
      <c r="M16" s="3">
        <v>1</v>
      </c>
      <c r="N16" s="3"/>
      <c r="O16" s="3">
        <v>6</v>
      </c>
      <c r="P16" s="3">
        <v>2019</v>
      </c>
      <c r="Q16" s="3" t="s">
        <v>22</v>
      </c>
      <c r="R16" s="3">
        <v>720</v>
      </c>
      <c r="S16" s="3">
        <v>72.929000000000002</v>
      </c>
      <c r="T16" s="3">
        <v>0.18129999999999999</v>
      </c>
      <c r="U16" s="3">
        <v>227.27699999999999</v>
      </c>
      <c r="V16" s="3">
        <v>261804.6</v>
      </c>
      <c r="W16" s="3">
        <v>2496223.2999999998</v>
      </c>
      <c r="X16" s="3">
        <v>720</v>
      </c>
    </row>
    <row r="17" spans="10:24" x14ac:dyDescent="0.25">
      <c r="J17" s="3" t="s">
        <v>20</v>
      </c>
      <c r="K17" s="3" t="s">
        <v>21</v>
      </c>
      <c r="L17" s="3">
        <v>6138</v>
      </c>
      <c r="M17" s="3">
        <v>1</v>
      </c>
      <c r="N17" s="3"/>
      <c r="O17" s="3">
        <v>7</v>
      </c>
      <c r="P17" s="3">
        <v>2019</v>
      </c>
      <c r="Q17" s="3" t="s">
        <v>22</v>
      </c>
      <c r="R17" s="3">
        <v>744</v>
      </c>
      <c r="S17" s="3">
        <v>80.203999999999994</v>
      </c>
      <c r="T17" s="3">
        <v>0.18090000000000001</v>
      </c>
      <c r="U17" s="3">
        <v>249.512</v>
      </c>
      <c r="V17" s="3">
        <v>285944</v>
      </c>
      <c r="W17" s="3">
        <v>2726402.3</v>
      </c>
      <c r="X17" s="3">
        <v>744</v>
      </c>
    </row>
    <row r="18" spans="10:24" x14ac:dyDescent="0.25">
      <c r="J18" s="3" t="s">
        <v>20</v>
      </c>
      <c r="K18" s="3" t="s">
        <v>21</v>
      </c>
      <c r="L18" s="3">
        <v>6138</v>
      </c>
      <c r="M18" s="3">
        <v>1</v>
      </c>
      <c r="N18" s="3"/>
      <c r="O18" s="3">
        <v>8</v>
      </c>
      <c r="P18" s="3">
        <v>2019</v>
      </c>
      <c r="Q18" s="3" t="s">
        <v>22</v>
      </c>
      <c r="R18" s="3">
        <v>744</v>
      </c>
      <c r="S18" s="3">
        <v>76.527000000000001</v>
      </c>
      <c r="T18" s="3">
        <v>0.18229999999999999</v>
      </c>
      <c r="U18" s="3">
        <v>239.25399999999999</v>
      </c>
      <c r="V18" s="3">
        <v>273662.40000000002</v>
      </c>
      <c r="W18" s="3">
        <v>2609283.4</v>
      </c>
      <c r="X18" s="3">
        <v>744</v>
      </c>
    </row>
    <row r="19" spans="10:24" x14ac:dyDescent="0.25">
      <c r="J19" s="3" t="s">
        <v>20</v>
      </c>
      <c r="K19" s="3" t="s">
        <v>21</v>
      </c>
      <c r="L19" s="3">
        <v>6138</v>
      </c>
      <c r="M19" s="3">
        <v>1</v>
      </c>
      <c r="N19" s="3"/>
      <c r="O19" s="3">
        <v>9</v>
      </c>
      <c r="P19" s="3">
        <v>2019</v>
      </c>
      <c r="Q19" s="3" t="s">
        <v>22</v>
      </c>
      <c r="R19" s="3">
        <v>720</v>
      </c>
      <c r="S19" s="3">
        <v>75.155000000000001</v>
      </c>
      <c r="T19" s="3">
        <v>0.17949999999999999</v>
      </c>
      <c r="U19" s="3">
        <v>244.447</v>
      </c>
      <c r="V19" s="3">
        <v>283529.5</v>
      </c>
      <c r="W19" s="3">
        <v>2703364</v>
      </c>
      <c r="X19" s="3">
        <v>720</v>
      </c>
    </row>
    <row r="20" spans="10:24" x14ac:dyDescent="0.25">
      <c r="J20" s="3" t="s">
        <v>20</v>
      </c>
      <c r="K20" s="3" t="s">
        <v>21</v>
      </c>
      <c r="L20" s="3">
        <v>6138</v>
      </c>
      <c r="M20" s="3">
        <v>1</v>
      </c>
      <c r="N20" s="3"/>
      <c r="O20" s="3">
        <v>10</v>
      </c>
      <c r="P20" s="3">
        <v>2019</v>
      </c>
      <c r="Q20" s="3" t="s">
        <v>22</v>
      </c>
      <c r="R20" s="3">
        <v>602.07000000000005</v>
      </c>
      <c r="S20" s="3">
        <v>45.198</v>
      </c>
      <c r="T20" s="3">
        <v>0.1825</v>
      </c>
      <c r="U20" s="3">
        <v>155.75</v>
      </c>
      <c r="V20" s="3">
        <v>178837.038</v>
      </c>
      <c r="W20" s="3">
        <v>1705158.3959999999</v>
      </c>
      <c r="X20" s="3">
        <v>744</v>
      </c>
    </row>
    <row r="21" spans="10:24" x14ac:dyDescent="0.25">
      <c r="J21" s="3" t="s">
        <v>20</v>
      </c>
      <c r="K21" s="3" t="s">
        <v>21</v>
      </c>
      <c r="L21" s="3">
        <v>6138</v>
      </c>
      <c r="M21" s="3">
        <v>1</v>
      </c>
      <c r="N21" s="3"/>
      <c r="O21" s="3">
        <v>11</v>
      </c>
      <c r="P21" s="3">
        <v>2019</v>
      </c>
      <c r="Q21" s="3" t="s">
        <v>22</v>
      </c>
      <c r="R21" s="3">
        <v>354.61</v>
      </c>
      <c r="S21" s="3">
        <v>26.94</v>
      </c>
      <c r="T21" s="3">
        <v>0.16189999999999999</v>
      </c>
      <c r="U21" s="3">
        <v>89.602999999999994</v>
      </c>
      <c r="V21" s="3">
        <v>104972.38499999999</v>
      </c>
      <c r="W21" s="3">
        <v>1000874.265</v>
      </c>
      <c r="X21" s="3">
        <v>720</v>
      </c>
    </row>
    <row r="22" spans="10:24" ht="15.75" thickBot="1" x14ac:dyDescent="0.3">
      <c r="J22" s="4" t="s">
        <v>20</v>
      </c>
      <c r="K22" s="4" t="s">
        <v>21</v>
      </c>
      <c r="L22" s="4">
        <v>6138</v>
      </c>
      <c r="M22" s="4">
        <v>1</v>
      </c>
      <c r="N22" s="4"/>
      <c r="O22" s="4">
        <v>12</v>
      </c>
      <c r="P22" s="4">
        <v>2019</v>
      </c>
      <c r="Q22" s="4" t="s">
        <v>22</v>
      </c>
      <c r="R22" s="4">
        <v>473.73</v>
      </c>
      <c r="S22" s="4">
        <v>34.984999999999999</v>
      </c>
      <c r="T22" s="4">
        <v>0.16769999999999999</v>
      </c>
      <c r="U22" s="4">
        <v>105.334</v>
      </c>
      <c r="V22" s="4">
        <v>125250.05499999999</v>
      </c>
      <c r="W22" s="4">
        <v>1194220.429</v>
      </c>
      <c r="X22" s="4">
        <v>744</v>
      </c>
    </row>
    <row r="23" spans="10:24" x14ac:dyDescent="0.25">
      <c r="Q23" s="5" t="s">
        <v>23</v>
      </c>
      <c r="R23" s="5">
        <f>SUM(R4:R22)</f>
        <v>11803.630000000001</v>
      </c>
      <c r="X23" s="5">
        <f>SUM(X4:X22)</f>
        <v>13896</v>
      </c>
    </row>
    <row r="27" spans="10:24" x14ac:dyDescent="0.25">
      <c r="L27" t="s">
        <v>24</v>
      </c>
      <c r="Q27" t="s">
        <v>25</v>
      </c>
      <c r="R27" s="6">
        <f>R23/X23</f>
        <v>0.84942645365572833</v>
      </c>
    </row>
    <row r="28" spans="10:24" x14ac:dyDescent="0.25">
      <c r="Q28" t="s">
        <v>26</v>
      </c>
      <c r="R28" s="7">
        <f>AVERAGE(T4:T22)</f>
        <v>0.18576666666666669</v>
      </c>
    </row>
    <row r="29" spans="10:24" x14ac:dyDescent="0.25">
      <c r="Q29" t="s">
        <v>27</v>
      </c>
      <c r="R29" s="7">
        <f>MAX(T4:T22)</f>
        <v>0.20030000000000001</v>
      </c>
    </row>
    <row r="30" spans="10:24" ht="45" x14ac:dyDescent="0.25">
      <c r="Q30" s="8" t="s">
        <v>28</v>
      </c>
      <c r="R30">
        <v>2868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97"/>
  <sheetViews>
    <sheetView view="pageBreakPreview" topLeftCell="A49" zoomScale="115" zoomScaleNormal="100" zoomScaleSheetLayoutView="115" workbookViewId="0">
      <selection activeCell="B73" sqref="B73"/>
    </sheetView>
  </sheetViews>
  <sheetFormatPr defaultColWidth="9.140625" defaultRowHeight="12.75" x14ac:dyDescent="0.2"/>
  <cols>
    <col min="1" max="1" width="2.7109375" style="10" customWidth="1"/>
    <col min="2" max="2" width="43.85546875" style="10" customWidth="1"/>
    <col min="3" max="3" width="65.42578125" style="10" customWidth="1"/>
    <col min="4" max="4" width="15.42578125" style="10" bestFit="1" customWidth="1"/>
    <col min="5" max="5" width="20.7109375" style="10" customWidth="1"/>
    <col min="6" max="6" width="14" style="10" bestFit="1" customWidth="1"/>
    <col min="7" max="16384" width="9.140625" style="10"/>
  </cols>
  <sheetData>
    <row r="1" spans="1:6" x14ac:dyDescent="0.2">
      <c r="A1" s="9"/>
      <c r="B1" s="140" t="s">
        <v>29</v>
      </c>
      <c r="C1" s="141"/>
      <c r="D1" s="141"/>
    </row>
    <row r="2" spans="1:6" ht="13.5" thickBot="1" x14ac:dyDescent="0.25">
      <c r="A2" s="11"/>
      <c r="B2" s="12"/>
      <c r="C2" s="12"/>
      <c r="D2" s="12"/>
    </row>
    <row r="3" spans="1:6" ht="4.5" customHeight="1" x14ac:dyDescent="0.2">
      <c r="A3" s="13"/>
      <c r="B3" s="14"/>
      <c r="C3" s="15"/>
      <c r="D3" s="16"/>
      <c r="E3" s="142"/>
      <c r="F3" s="142"/>
    </row>
    <row r="4" spans="1:6" ht="14.45" customHeight="1" x14ac:dyDescent="0.2">
      <c r="A4" s="13"/>
      <c r="B4" s="17" t="s">
        <v>30</v>
      </c>
      <c r="C4" s="18"/>
      <c r="D4" s="19"/>
      <c r="E4" s="143"/>
      <c r="F4" s="143"/>
    </row>
    <row r="5" spans="1:6" ht="13.5" thickBot="1" x14ac:dyDescent="0.25">
      <c r="A5" s="13"/>
      <c r="B5" s="20" t="s">
        <v>31</v>
      </c>
      <c r="C5" s="21"/>
      <c r="D5" s="22" t="s">
        <v>32</v>
      </c>
      <c r="E5" s="22" t="s">
        <v>33</v>
      </c>
      <c r="F5" s="22" t="s">
        <v>34</v>
      </c>
    </row>
    <row r="6" spans="1:6" ht="15.75" x14ac:dyDescent="0.2">
      <c r="A6" s="13"/>
      <c r="B6" s="23" t="s">
        <v>35</v>
      </c>
      <c r="C6" s="24" t="s">
        <v>36</v>
      </c>
      <c r="D6" s="25"/>
      <c r="E6" s="26"/>
      <c r="F6" s="26"/>
    </row>
    <row r="7" spans="1:6" ht="14.25" x14ac:dyDescent="0.25">
      <c r="A7" s="13"/>
      <c r="B7" s="27" t="s">
        <v>37</v>
      </c>
      <c r="C7" s="28" t="s">
        <v>38</v>
      </c>
      <c r="D7" s="29">
        <v>6324</v>
      </c>
      <c r="E7" s="30">
        <v>6324</v>
      </c>
      <c r="F7" s="30">
        <v>6324</v>
      </c>
    </row>
    <row r="8" spans="1:6" ht="14.25" x14ac:dyDescent="0.25">
      <c r="A8" s="13"/>
      <c r="B8" s="31" t="s">
        <v>39</v>
      </c>
      <c r="C8" s="32" t="s">
        <v>40</v>
      </c>
      <c r="D8" s="33">
        <v>7752</v>
      </c>
      <c r="E8" s="30">
        <v>7752</v>
      </c>
      <c r="F8" s="33">
        <f>F9*8760</f>
        <v>7440.9757340241804</v>
      </c>
    </row>
    <row r="9" spans="1:6" ht="14.25" x14ac:dyDescent="0.25">
      <c r="A9" s="13"/>
      <c r="B9" s="34" t="s">
        <v>41</v>
      </c>
      <c r="C9" s="35" t="s">
        <v>42</v>
      </c>
      <c r="D9" s="36">
        <v>0.92</v>
      </c>
      <c r="E9" s="37">
        <f>E10*E11</f>
        <v>0.92</v>
      </c>
      <c r="F9" s="37">
        <f>F10*F11</f>
        <v>0.84942645365572833</v>
      </c>
    </row>
    <row r="10" spans="1:6" ht="14.25" x14ac:dyDescent="0.25">
      <c r="A10" s="13"/>
      <c r="B10" s="34" t="s">
        <v>43</v>
      </c>
      <c r="C10" s="35"/>
      <c r="D10" s="36">
        <v>0.92</v>
      </c>
      <c r="E10" s="30">
        <v>0.92</v>
      </c>
      <c r="F10" s="38">
        <f>'[1]Read Me'!R27</f>
        <v>0.84942645365572833</v>
      </c>
    </row>
    <row r="11" spans="1:6" ht="14.25" x14ac:dyDescent="0.25">
      <c r="A11" s="13"/>
      <c r="B11" s="34" t="s">
        <v>44</v>
      </c>
      <c r="C11" s="35" t="s">
        <v>45</v>
      </c>
      <c r="D11" s="29">
        <v>1</v>
      </c>
      <c r="E11" s="30">
        <v>1</v>
      </c>
      <c r="F11" s="30">
        <v>1</v>
      </c>
    </row>
    <row r="12" spans="1:6" ht="25.5" x14ac:dyDescent="0.2">
      <c r="A12" s="13"/>
      <c r="B12" s="39" t="s">
        <v>46</v>
      </c>
      <c r="C12" s="35"/>
      <c r="D12" s="40">
        <v>0.35</v>
      </c>
      <c r="E12" s="41">
        <v>0.13039999999999999</v>
      </c>
      <c r="F12" s="41">
        <v>0.1</v>
      </c>
    </row>
    <row r="13" spans="1:6" ht="25.5" x14ac:dyDescent="0.2">
      <c r="A13" s="13"/>
      <c r="B13" s="39" t="s">
        <v>47</v>
      </c>
      <c r="C13" s="35"/>
      <c r="D13" s="36">
        <v>0.33</v>
      </c>
      <c r="E13" s="42">
        <v>0.23</v>
      </c>
      <c r="F13" s="43">
        <v>0.2</v>
      </c>
    </row>
    <row r="14" spans="1:6" ht="14.25" x14ac:dyDescent="0.25">
      <c r="A14" s="13"/>
      <c r="B14" s="34" t="s">
        <v>48</v>
      </c>
      <c r="C14" s="35"/>
      <c r="D14" s="44">
        <v>0.05</v>
      </c>
      <c r="E14" s="44">
        <v>0.05</v>
      </c>
      <c r="F14" s="44">
        <v>0.05</v>
      </c>
    </row>
    <row r="15" spans="1:6" ht="14.25" x14ac:dyDescent="0.25">
      <c r="A15" s="13"/>
      <c r="B15" s="34" t="s">
        <v>49</v>
      </c>
      <c r="C15" s="35"/>
      <c r="D15" s="45">
        <v>3.62E-3</v>
      </c>
      <c r="E15" s="45">
        <v>3.62E-3</v>
      </c>
      <c r="F15" s="45">
        <v>3.62E-3</v>
      </c>
    </row>
    <row r="16" spans="1:6" ht="14.25" x14ac:dyDescent="0.25">
      <c r="A16" s="13"/>
      <c r="B16" s="34" t="s">
        <v>50</v>
      </c>
      <c r="C16" s="35"/>
      <c r="D16" s="46">
        <v>2.5</v>
      </c>
      <c r="E16" s="46">
        <v>2.5</v>
      </c>
      <c r="F16" s="46">
        <v>2.5</v>
      </c>
    </row>
    <row r="17" spans="1:6" x14ac:dyDescent="0.2">
      <c r="A17" s="13"/>
      <c r="B17" s="34" t="s">
        <v>51</v>
      </c>
      <c r="C17" s="35"/>
      <c r="D17" s="47">
        <v>9000</v>
      </c>
      <c r="E17" s="47">
        <v>9000</v>
      </c>
      <c r="F17" s="47">
        <v>9000</v>
      </c>
    </row>
    <row r="18" spans="1:6" ht="14.25" x14ac:dyDescent="0.25">
      <c r="A18" s="13"/>
      <c r="B18" s="34" t="s">
        <v>52</v>
      </c>
      <c r="C18" s="35"/>
      <c r="D18" s="46">
        <v>9</v>
      </c>
      <c r="E18" s="46">
        <v>9</v>
      </c>
      <c r="F18" s="46">
        <v>9</v>
      </c>
    </row>
    <row r="19" spans="1:6" x14ac:dyDescent="0.2">
      <c r="A19" s="13"/>
      <c r="B19" s="48" t="s">
        <v>53</v>
      </c>
      <c r="C19" s="49" t="s">
        <v>54</v>
      </c>
      <c r="D19" s="50">
        <f>(0.07*(1+0.07)^20)/((1+0.07)^20-1)</f>
        <v>9.4392925743255696E-2</v>
      </c>
      <c r="E19" s="51">
        <f>(0.07*(1+0.07)^30)/((1+0.07)^30-1)</f>
        <v>8.0586403511111196E-2</v>
      </c>
      <c r="F19" s="52">
        <f>(0.03125*(1+0.03125)^20)/((1+0.03125)^20-1)</f>
        <v>6.799490707645274E-2</v>
      </c>
    </row>
    <row r="20" spans="1:6" ht="79.900000000000006" customHeight="1" x14ac:dyDescent="0.2">
      <c r="A20" s="13"/>
      <c r="B20" s="53"/>
      <c r="C20" s="54" t="s">
        <v>55</v>
      </c>
      <c r="D20" s="55"/>
      <c r="E20" s="56"/>
      <c r="F20" s="53"/>
    </row>
    <row r="21" spans="1:6" x14ac:dyDescent="0.2">
      <c r="A21" s="13"/>
      <c r="B21" s="57" t="s">
        <v>56</v>
      </c>
      <c r="C21" s="58">
        <f>C22/C23</f>
        <v>1.5596919127086009</v>
      </c>
      <c r="D21" s="59"/>
      <c r="E21" s="60"/>
      <c r="F21" s="60"/>
    </row>
    <row r="22" spans="1:6" x14ac:dyDescent="0.2">
      <c r="A22" s="13"/>
      <c r="B22" s="61" t="s">
        <v>57</v>
      </c>
      <c r="C22" s="62">
        <v>607.5</v>
      </c>
      <c r="D22" s="59"/>
      <c r="E22" s="60"/>
      <c r="F22" s="60"/>
    </row>
    <row r="23" spans="1:6" ht="13.5" thickBot="1" x14ac:dyDescent="0.25">
      <c r="A23" s="13"/>
      <c r="B23" s="63" t="s">
        <v>58</v>
      </c>
      <c r="C23" s="64">
        <v>389.5</v>
      </c>
      <c r="D23" s="65"/>
      <c r="E23" s="60"/>
      <c r="F23" s="60"/>
    </row>
    <row r="24" spans="1:6" ht="13.5" thickBot="1" x14ac:dyDescent="0.25">
      <c r="A24" s="13"/>
      <c r="B24" s="66" t="s">
        <v>59</v>
      </c>
      <c r="C24" s="67"/>
      <c r="D24" s="68"/>
      <c r="E24" s="60"/>
      <c r="F24" s="60"/>
    </row>
    <row r="25" spans="1:6" ht="28.5" x14ac:dyDescent="0.25">
      <c r="A25" s="13"/>
      <c r="B25" s="69" t="s">
        <v>60</v>
      </c>
      <c r="C25" s="70" t="s">
        <v>61</v>
      </c>
      <c r="D25" s="71">
        <f>950*D7*((2375/D7)^0.557)*(0.66+(0.85*D12))*($C$22/$C$23)</f>
        <v>5199783.1902729357</v>
      </c>
      <c r="E25" s="71">
        <f>950*E7*((2375/E7)^0.557)*(0.66+(0.85*E12))*($C$22/$C$23)</f>
        <v>4186110.573775446</v>
      </c>
      <c r="F25" s="71">
        <f>950*F7*((2375/F7)^0.557)*(0.66+(0.85*F12))*($C$22/$C$23)</f>
        <v>4045784.3099251566</v>
      </c>
    </row>
    <row r="26" spans="1:6" x14ac:dyDescent="0.2">
      <c r="A26" s="13"/>
      <c r="B26" s="72" t="s">
        <v>62</v>
      </c>
      <c r="C26" s="73"/>
      <c r="D26" s="72"/>
      <c r="E26" s="72"/>
      <c r="F26" s="72"/>
    </row>
    <row r="27" spans="1:6" x14ac:dyDescent="0.2">
      <c r="A27" s="13"/>
      <c r="B27" s="34" t="s">
        <v>63</v>
      </c>
      <c r="C27" s="35" t="s">
        <v>64</v>
      </c>
      <c r="D27" s="74">
        <f t="shared" ref="D27:F27" si="0">0.05*D25</f>
        <v>259989.15951364679</v>
      </c>
      <c r="E27" s="74">
        <f t="shared" si="0"/>
        <v>209305.52868877232</v>
      </c>
      <c r="F27" s="74">
        <f t="shared" si="0"/>
        <v>202289.21549625785</v>
      </c>
    </row>
    <row r="28" spans="1:6" x14ac:dyDescent="0.2">
      <c r="A28" s="13"/>
      <c r="B28" s="34" t="s">
        <v>65</v>
      </c>
      <c r="C28" s="35" t="s">
        <v>66</v>
      </c>
      <c r="D28" s="74">
        <f t="shared" ref="D28:F28" si="1">0.1*D25</f>
        <v>519978.31902729359</v>
      </c>
      <c r="E28" s="74">
        <f t="shared" si="1"/>
        <v>418611.05737754464</v>
      </c>
      <c r="F28" s="74">
        <f t="shared" si="1"/>
        <v>404578.4309925157</v>
      </c>
    </row>
    <row r="29" spans="1:6" x14ac:dyDescent="0.2">
      <c r="A29" s="13"/>
      <c r="B29" s="34" t="s">
        <v>67</v>
      </c>
      <c r="C29" s="35" t="s">
        <v>64</v>
      </c>
      <c r="D29" s="74">
        <f t="shared" ref="D29:F29" si="2">0.05*D25</f>
        <v>259989.15951364679</v>
      </c>
      <c r="E29" s="74">
        <f t="shared" si="2"/>
        <v>209305.52868877232</v>
      </c>
      <c r="F29" s="74">
        <f t="shared" si="2"/>
        <v>202289.21549625785</v>
      </c>
    </row>
    <row r="30" spans="1:6" ht="25.5" x14ac:dyDescent="0.2">
      <c r="A30" s="13"/>
      <c r="B30" s="34" t="s">
        <v>68</v>
      </c>
      <c r="C30" s="75" t="s">
        <v>69</v>
      </c>
      <c r="D30" s="74">
        <f t="shared" ref="D30:E30" si="3">SUM(D27:D29)</f>
        <v>1039956.6380545872</v>
      </c>
      <c r="E30" s="74">
        <f t="shared" si="3"/>
        <v>837222.11475508928</v>
      </c>
      <c r="F30" s="74">
        <f t="shared" ref="F30" si="4">SUM(F27:F29)</f>
        <v>809156.8619850314</v>
      </c>
    </row>
    <row r="31" spans="1:6" x14ac:dyDescent="0.2">
      <c r="A31" s="13"/>
      <c r="B31" s="76" t="s">
        <v>70</v>
      </c>
      <c r="C31" s="73"/>
      <c r="D31" s="77"/>
      <c r="E31" s="77"/>
      <c r="F31" s="77"/>
    </row>
    <row r="32" spans="1:6" x14ac:dyDescent="0.2">
      <c r="A32" s="13"/>
      <c r="B32" s="34" t="s">
        <v>71</v>
      </c>
      <c r="C32" s="32" t="s">
        <v>72</v>
      </c>
      <c r="D32" s="74">
        <f t="shared" ref="D32:F32" si="5" xml:space="preserve"> 0.15*(D25+D30)</f>
        <v>935960.97424912837</v>
      </c>
      <c r="E32" s="74">
        <f t="shared" si="5"/>
        <v>753499.90327958029</v>
      </c>
      <c r="F32" s="74">
        <f t="shared" si="5"/>
        <v>728241.17578652815</v>
      </c>
    </row>
    <row r="33" spans="1:6" x14ac:dyDescent="0.2">
      <c r="A33" s="13"/>
      <c r="B33" s="34" t="s">
        <v>73</v>
      </c>
      <c r="C33" s="32" t="s">
        <v>74</v>
      </c>
      <c r="D33" s="74">
        <f t="shared" ref="D33:F33" si="6" xml:space="preserve"> D25+D30+D32</f>
        <v>7175700.8025766509</v>
      </c>
      <c r="E33" s="74">
        <f t="shared" si="6"/>
        <v>5776832.5918101156</v>
      </c>
      <c r="F33" s="74">
        <f t="shared" si="6"/>
        <v>5583182.347696716</v>
      </c>
    </row>
    <row r="34" spans="1:6" x14ac:dyDescent="0.2">
      <c r="A34" s="13"/>
      <c r="B34" s="34" t="s">
        <v>75</v>
      </c>
      <c r="C34" s="32" t="s">
        <v>76</v>
      </c>
      <c r="D34" s="74">
        <v>0</v>
      </c>
      <c r="E34" s="74">
        <v>0</v>
      </c>
      <c r="F34" s="74">
        <v>0</v>
      </c>
    </row>
    <row r="35" spans="1:6" x14ac:dyDescent="0.2">
      <c r="A35" s="13"/>
      <c r="B35" s="34" t="s">
        <v>77</v>
      </c>
      <c r="C35" s="32" t="s">
        <v>78</v>
      </c>
      <c r="D35" s="74">
        <v>0</v>
      </c>
      <c r="E35" s="74">
        <v>0</v>
      </c>
      <c r="F35" s="74">
        <v>0</v>
      </c>
    </row>
    <row r="36" spans="1:6" x14ac:dyDescent="0.2">
      <c r="A36" s="13"/>
      <c r="B36" s="34" t="s">
        <v>79</v>
      </c>
      <c r="C36" s="32" t="s">
        <v>80</v>
      </c>
      <c r="D36" s="74">
        <f t="shared" ref="D36:F36" si="7">0.02*(D33+D34)</f>
        <v>143514.01605153302</v>
      </c>
      <c r="E36" s="74">
        <f t="shared" si="7"/>
        <v>115536.65183620232</v>
      </c>
      <c r="F36" s="74">
        <f t="shared" si="7"/>
        <v>111663.64695393432</v>
      </c>
    </row>
    <row r="37" spans="1:6" ht="14.25" x14ac:dyDescent="0.25">
      <c r="A37" s="13"/>
      <c r="B37" s="34" t="s">
        <v>81</v>
      </c>
      <c r="C37" s="32" t="s">
        <v>82</v>
      </c>
      <c r="D37" s="78">
        <v>76102</v>
      </c>
      <c r="E37" s="78">
        <v>8957</v>
      </c>
      <c r="F37" s="78">
        <f t="shared" ref="F37" si="8">F39*F38</f>
        <v>4988.0478910887505</v>
      </c>
    </row>
    <row r="38" spans="1:6" ht="14.25" x14ac:dyDescent="0.25">
      <c r="A38" s="13"/>
      <c r="B38" s="34" t="s">
        <v>83</v>
      </c>
      <c r="C38" s="79"/>
      <c r="D38" s="80">
        <v>1.5377477272727273</v>
      </c>
      <c r="E38" s="80">
        <v>1.5377477272727273</v>
      </c>
      <c r="F38" s="80">
        <v>1.5377477272727273</v>
      </c>
    </row>
    <row r="39" spans="1:6" ht="14.25" x14ac:dyDescent="0.25">
      <c r="A39" s="13"/>
      <c r="B39" s="34" t="s">
        <v>84</v>
      </c>
      <c r="C39" s="32" t="s">
        <v>85</v>
      </c>
      <c r="D39" s="81">
        <f t="shared" ref="D39:F39" si="9">D40*14*24</f>
        <v>49416.982499154925</v>
      </c>
      <c r="E39" s="81">
        <f t="shared" si="9"/>
        <v>5816.5572575105161</v>
      </c>
      <c r="F39" s="81">
        <f t="shared" si="9"/>
        <v>3243.7361490595749</v>
      </c>
    </row>
    <row r="40" spans="1:6" ht="26.25" x14ac:dyDescent="0.25">
      <c r="A40" s="13"/>
      <c r="B40" s="82" t="s">
        <v>86</v>
      </c>
      <c r="C40" s="83" t="s">
        <v>87</v>
      </c>
      <c r="D40" s="84">
        <f>(D41*7.481)/71</f>
        <v>147.07435267605632</v>
      </c>
      <c r="E40" s="84">
        <f>(E41*7.481)/71</f>
        <v>17.311182314019394</v>
      </c>
      <c r="F40" s="85">
        <f>(F41*7.481)/71</f>
        <v>9.6539766341058773</v>
      </c>
    </row>
    <row r="41" spans="1:6" ht="16.899999999999999" customHeight="1" x14ac:dyDescent="0.25">
      <c r="A41" s="13"/>
      <c r="B41" s="34" t="s">
        <v>88</v>
      </c>
      <c r="C41" s="86" t="s">
        <v>89</v>
      </c>
      <c r="D41" s="87">
        <f>D42/0.5</f>
        <v>1395.84</v>
      </c>
      <c r="E41" s="87">
        <f>E42/0.5</f>
        <v>164.29540760531708</v>
      </c>
      <c r="F41" s="87">
        <f>F42/0.5</f>
        <v>91.623090632471232</v>
      </c>
    </row>
    <row r="42" spans="1:6" ht="15" x14ac:dyDescent="0.25">
      <c r="A42" s="13"/>
      <c r="B42" s="34" t="s">
        <v>90</v>
      </c>
      <c r="C42" t="s">
        <v>91</v>
      </c>
      <c r="D42" s="87">
        <v>697.92</v>
      </c>
      <c r="E42" s="87">
        <f>(E13*E7*E12*E43*60.6)/(46.01*2)</f>
        <v>82.14770380265854</v>
      </c>
      <c r="F42" s="87">
        <f>(F13*F7*F12*F43*60.6)/(46.01*2)</f>
        <v>45.811545316235616</v>
      </c>
    </row>
    <row r="43" spans="1:6" ht="15" x14ac:dyDescent="0.25">
      <c r="A43" s="13"/>
      <c r="B43" s="34" t="s">
        <v>92</v>
      </c>
      <c r="C43" s="88" t="s">
        <v>93</v>
      </c>
      <c r="D43" s="87">
        <v>1.43</v>
      </c>
      <c r="E43" s="87">
        <f>((2*E13+0.7)*E12)/E13</f>
        <v>0.65766956521739117</v>
      </c>
      <c r="F43" s="87">
        <f>((2*F13+0.7)*F12)/F13</f>
        <v>0.55000000000000004</v>
      </c>
    </row>
    <row r="44" spans="1:6" x14ac:dyDescent="0.2">
      <c r="A44" s="13"/>
      <c r="B44" s="82" t="s">
        <v>94</v>
      </c>
      <c r="C44" s="89" t="s">
        <v>95</v>
      </c>
      <c r="D44" s="74">
        <v>0</v>
      </c>
      <c r="E44" s="74">
        <v>0</v>
      </c>
      <c r="F44" s="74">
        <v>0</v>
      </c>
    </row>
    <row r="45" spans="1:6" x14ac:dyDescent="0.2">
      <c r="A45" s="13"/>
      <c r="B45" s="90" t="s">
        <v>96</v>
      </c>
      <c r="C45" s="91" t="s">
        <v>97</v>
      </c>
      <c r="D45" s="92">
        <f t="shared" ref="D45:F45" si="10">SUM(D33:D37,D44)</f>
        <v>7395316.8186281836</v>
      </c>
      <c r="E45" s="92">
        <f t="shared" si="10"/>
        <v>5901326.2436463181</v>
      </c>
      <c r="F45" s="92">
        <f t="shared" si="10"/>
        <v>5699834.0425417386</v>
      </c>
    </row>
    <row r="46" spans="1:6" ht="13.5" thickBot="1" x14ac:dyDescent="0.25">
      <c r="A46" s="13"/>
      <c r="B46" s="93"/>
      <c r="C46" s="94"/>
      <c r="D46" s="95"/>
      <c r="E46" s="60"/>
      <c r="F46" s="60"/>
    </row>
    <row r="47" spans="1:6" ht="13.5" thickBot="1" x14ac:dyDescent="0.25">
      <c r="A47" s="13"/>
      <c r="B47" s="66" t="s">
        <v>98</v>
      </c>
      <c r="C47" s="67"/>
      <c r="D47" s="66"/>
      <c r="E47" s="60"/>
      <c r="F47" s="60"/>
    </row>
    <row r="48" spans="1:6" x14ac:dyDescent="0.2">
      <c r="A48" s="13"/>
      <c r="B48" s="34" t="s">
        <v>99</v>
      </c>
      <c r="C48" s="35" t="s">
        <v>100</v>
      </c>
      <c r="D48" s="74">
        <f t="shared" ref="D48:F48" si="11">0.015*D45</f>
        <v>110929.75227942276</v>
      </c>
      <c r="E48" s="74">
        <f t="shared" si="11"/>
        <v>88519.893654694766</v>
      </c>
      <c r="F48" s="74">
        <f t="shared" si="11"/>
        <v>85497.51063812607</v>
      </c>
    </row>
    <row r="49" spans="1:6" ht="14.25" x14ac:dyDescent="0.25">
      <c r="A49" s="13"/>
      <c r="B49" s="34" t="s">
        <v>101</v>
      </c>
      <c r="C49" s="35" t="s">
        <v>102</v>
      </c>
      <c r="D49" s="78">
        <v>1755781</v>
      </c>
      <c r="E49" s="78">
        <f>E40*E38*E8</f>
        <v>206360.03272587006</v>
      </c>
      <c r="F49" s="78">
        <f>F40*F38*F8</f>
        <v>110464.11701708891</v>
      </c>
    </row>
    <row r="50" spans="1:6" ht="15" x14ac:dyDescent="0.2">
      <c r="A50" s="13"/>
      <c r="B50" s="34" t="s">
        <v>103</v>
      </c>
      <c r="C50" s="86" t="s">
        <v>104</v>
      </c>
      <c r="D50" s="74">
        <v>58064</v>
      </c>
      <c r="E50" s="74">
        <f>E51*E14*E8</f>
        <v>18343.637646335999</v>
      </c>
      <c r="F50" s="74">
        <f>F51*F14*F8</f>
        <v>12804.384047472597</v>
      </c>
    </row>
    <row r="51" spans="1:6" ht="15" x14ac:dyDescent="0.2">
      <c r="A51" s="13"/>
      <c r="B51" s="34" t="s">
        <v>105</v>
      </c>
      <c r="C51" s="86" t="s">
        <v>106</v>
      </c>
      <c r="D51" s="36">
        <v>149.80000000000001</v>
      </c>
      <c r="E51" s="36">
        <f>(0.47*E13*E43*E7)/9.5</f>
        <v>47.326206517894732</v>
      </c>
      <c r="F51" s="36">
        <f>(0.47*F13*F43*F7)/9.5</f>
        <v>34.415873684210531</v>
      </c>
    </row>
    <row r="52" spans="1:6" ht="14.25" x14ac:dyDescent="0.25">
      <c r="A52" s="13"/>
      <c r="B52" s="34" t="s">
        <v>107</v>
      </c>
      <c r="C52" s="35" t="s">
        <v>108</v>
      </c>
      <c r="D52" s="74">
        <f>D53*D15*D8</f>
        <v>18775.322294399997</v>
      </c>
      <c r="E52" s="74">
        <f>E53*E15*E8</f>
        <v>2209.9447137774632</v>
      </c>
      <c r="F52" s="74">
        <f>F53*F15*F8</f>
        <v>1182.9790305775962</v>
      </c>
    </row>
    <row r="53" spans="1:6" ht="14.25" x14ac:dyDescent="0.25">
      <c r="A53" s="13"/>
      <c r="B53" s="34" t="s">
        <v>109</v>
      </c>
      <c r="C53" s="35" t="s">
        <v>110</v>
      </c>
      <c r="D53" s="36">
        <v>669.06</v>
      </c>
      <c r="E53" s="36">
        <f t="shared" ref="E53:F53" si="12">(E41/8.345)*((0.5/0.1)-1)</f>
        <v>78.751543489666659</v>
      </c>
      <c r="F53" s="36">
        <f t="shared" si="12"/>
        <v>43.917598865174945</v>
      </c>
    </row>
    <row r="54" spans="1:6" ht="14.25" x14ac:dyDescent="0.25">
      <c r="A54" s="13"/>
      <c r="B54" s="34" t="s">
        <v>111</v>
      </c>
      <c r="C54" s="35" t="s">
        <v>112</v>
      </c>
      <c r="D54" s="74">
        <f>D55*D16*D8</f>
        <v>109558.08576</v>
      </c>
      <c r="E54" s="74">
        <f>E55*E16*E8</f>
        <v>12895.382247533731</v>
      </c>
      <c r="F54" s="74">
        <f>F55*F16*F8</f>
        <v>6902.8725899842311</v>
      </c>
    </row>
    <row r="55" spans="1:6" ht="16.5" x14ac:dyDescent="0.25">
      <c r="A55" s="13"/>
      <c r="B55" s="34" t="s">
        <v>113</v>
      </c>
      <c r="C55" s="35" t="s">
        <v>114</v>
      </c>
      <c r="D55" s="36">
        <f>(900*D42*((1/0.1)-1))/10^6</f>
        <v>5.6531520000000004</v>
      </c>
      <c r="E55" s="36">
        <f>(900*E42*((1/0.1)-1))/10^6</f>
        <v>0.66539640080153417</v>
      </c>
      <c r="F55" s="36">
        <f>(900*F42*((1/0.1)-1))/10^6</f>
        <v>0.37107351706150848</v>
      </c>
    </row>
    <row r="56" spans="1:6" ht="14.25" x14ac:dyDescent="0.25">
      <c r="A56" s="13"/>
      <c r="B56" s="34" t="s">
        <v>115</v>
      </c>
      <c r="C56" s="35" t="s">
        <v>116</v>
      </c>
      <c r="D56" s="74">
        <f>(D57*D18*D8)/2000</f>
        <v>1643.3712864000001</v>
      </c>
      <c r="E56" s="74">
        <f>(E57*E18*E8)/2000</f>
        <v>193.43073371300599</v>
      </c>
      <c r="F56" s="74">
        <f>(F57*F18*F8)/2000</f>
        <v>103.54308884976346</v>
      </c>
    </row>
    <row r="57" spans="1:6" ht="15.75" x14ac:dyDescent="0.2">
      <c r="A57" s="13"/>
      <c r="B57" s="96" t="s">
        <v>117</v>
      </c>
      <c r="C57" s="35" t="s">
        <v>118</v>
      </c>
      <c r="D57" s="97">
        <f t="shared" ref="D57:F57" si="13">(D55*0.075*10^6)/D17</f>
        <v>47.1096</v>
      </c>
      <c r="E57" s="97">
        <f t="shared" si="13"/>
        <v>5.5449700066794518</v>
      </c>
      <c r="F57" s="97">
        <f t="shared" si="13"/>
        <v>3.092279308845904</v>
      </c>
    </row>
    <row r="58" spans="1:6" x14ac:dyDescent="0.2">
      <c r="A58" s="13"/>
      <c r="B58" s="90" t="s">
        <v>119</v>
      </c>
      <c r="C58" s="91" t="s">
        <v>120</v>
      </c>
      <c r="D58" s="92">
        <f>SUM(D48,D49,D50,D52,D54,D56)</f>
        <v>2054751.5316202226</v>
      </c>
      <c r="E58" s="92">
        <f>SUM(E48,E49,E50,E52,E54,E56)</f>
        <v>328522.32172192499</v>
      </c>
      <c r="F58" s="92">
        <f t="shared" ref="F58" si="14">SUM(F48:F50,F52,F54,F56)</f>
        <v>216955.40641209914</v>
      </c>
    </row>
    <row r="59" spans="1:6" ht="26.25" thickBot="1" x14ac:dyDescent="0.25">
      <c r="A59" s="13"/>
      <c r="B59" s="98" t="s">
        <v>121</v>
      </c>
      <c r="C59" s="99" t="s">
        <v>122</v>
      </c>
      <c r="D59" s="100">
        <f t="shared" ref="D59:F59" si="15">D19*D45</f>
        <v>698065.59130862006</v>
      </c>
      <c r="E59" s="100">
        <f t="shared" si="15"/>
        <v>475566.65792119229</v>
      </c>
      <c r="F59" s="100">
        <f t="shared" si="15"/>
        <v>387559.6860738275</v>
      </c>
    </row>
    <row r="60" spans="1:6" ht="13.5" thickBot="1" x14ac:dyDescent="0.25">
      <c r="A60" s="13"/>
      <c r="B60" s="101" t="s">
        <v>123</v>
      </c>
      <c r="C60" s="102" t="s">
        <v>124</v>
      </c>
      <c r="D60" s="103">
        <f t="shared" ref="D60:F60" si="16">D58+D59</f>
        <v>2752817.1229288429</v>
      </c>
      <c r="E60" s="103">
        <f t="shared" si="16"/>
        <v>804088.97964311729</v>
      </c>
      <c r="F60" s="103">
        <f t="shared" si="16"/>
        <v>604515.09248592658</v>
      </c>
    </row>
    <row r="61" spans="1:6" ht="13.5" x14ac:dyDescent="0.25">
      <c r="A61" s="11"/>
      <c r="B61" s="104" t="s">
        <v>125</v>
      </c>
      <c r="C61" s="105"/>
      <c r="D61" s="106"/>
      <c r="E61" s="106"/>
      <c r="F61" s="107"/>
    </row>
    <row r="62" spans="1:6" x14ac:dyDescent="0.2">
      <c r="A62" s="11"/>
      <c r="B62" s="108" t="s">
        <v>126</v>
      </c>
      <c r="C62" s="109"/>
      <c r="D62" s="110">
        <f>'SWEPCO Read Me '!R30</f>
        <v>2868</v>
      </c>
      <c r="E62" s="110">
        <f>D62</f>
        <v>2868</v>
      </c>
      <c r="F62" s="110">
        <f>D62</f>
        <v>2868</v>
      </c>
    </row>
    <row r="63" spans="1:6" x14ac:dyDescent="0.2">
      <c r="A63" s="11"/>
      <c r="B63" s="108" t="s">
        <v>127</v>
      </c>
      <c r="C63" s="109"/>
      <c r="D63" s="111">
        <f>'SWEPCO Read Me '!R28</f>
        <v>0.18576666666666669</v>
      </c>
      <c r="E63" s="111">
        <f>D63</f>
        <v>0.18576666666666669</v>
      </c>
      <c r="F63" s="111">
        <f>E63</f>
        <v>0.18576666666666669</v>
      </c>
    </row>
    <row r="64" spans="1:6" x14ac:dyDescent="0.2">
      <c r="A64" s="11"/>
      <c r="B64" s="108" t="s">
        <v>128</v>
      </c>
      <c r="C64" s="109"/>
      <c r="D64" s="112">
        <f>(D63-D66)/D63</f>
        <v>3.1042526466894114E-2</v>
      </c>
      <c r="E64" s="112">
        <f>(E63-E66)/E63</f>
        <v>3.1042526466894114E-2</v>
      </c>
      <c r="F64" s="112">
        <f>(F63-F66)/F63</f>
        <v>3.1042526466894114E-2</v>
      </c>
    </row>
    <row r="65" spans="1:6" x14ac:dyDescent="0.2">
      <c r="A65" s="11"/>
      <c r="B65" s="113" t="s">
        <v>129</v>
      </c>
      <c r="C65" s="114"/>
      <c r="D65" s="115">
        <f>D62-D62*D64</f>
        <v>2778.9700340929476</v>
      </c>
      <c r="E65" s="115">
        <f>E62-E62*E64</f>
        <v>2778.9700340929476</v>
      </c>
      <c r="F65" s="115">
        <f>F62-F62*F64</f>
        <v>2778.9700340929476</v>
      </c>
    </row>
    <row r="66" spans="1:6" x14ac:dyDescent="0.2">
      <c r="A66" s="11"/>
      <c r="B66" s="113" t="s">
        <v>130</v>
      </c>
      <c r="C66" s="114"/>
      <c r="D66" s="116">
        <v>0.18</v>
      </c>
      <c r="E66" s="116">
        <v>0.18</v>
      </c>
      <c r="F66" s="116">
        <v>0.18</v>
      </c>
    </row>
    <row r="67" spans="1:6" ht="12" customHeight="1" x14ac:dyDescent="0.2">
      <c r="A67" s="11"/>
      <c r="B67" s="108" t="s">
        <v>131</v>
      </c>
      <c r="C67" s="109"/>
      <c r="D67" s="117">
        <f>D62*D64</f>
        <v>89.029965907052315</v>
      </c>
      <c r="E67" s="117">
        <f>E62*E64</f>
        <v>89.029965907052315</v>
      </c>
      <c r="F67" s="117">
        <f>F62*F64</f>
        <v>89.029965907052315</v>
      </c>
    </row>
    <row r="68" spans="1:6" ht="13.5" thickBot="1" x14ac:dyDescent="0.25">
      <c r="A68" s="11"/>
      <c r="B68" s="118" t="s">
        <v>132</v>
      </c>
      <c r="C68" s="94"/>
      <c r="D68" s="119">
        <f>D60/D67</f>
        <v>30920.118803626145</v>
      </c>
      <c r="E68" s="119">
        <f>E60/E67</f>
        <v>9031.6667141329672</v>
      </c>
      <c r="F68" s="119">
        <f>F60/F67</f>
        <v>6790.0182407914554</v>
      </c>
    </row>
    <row r="69" spans="1:6" x14ac:dyDescent="0.2">
      <c r="A69" s="11"/>
      <c r="B69" s="11" t="s">
        <v>149</v>
      </c>
      <c r="C69" s="120"/>
      <c r="D69" s="121"/>
      <c r="E69" s="107"/>
      <c r="F69" s="107"/>
    </row>
    <row r="70" spans="1:6" x14ac:dyDescent="0.2">
      <c r="A70" s="11"/>
      <c r="B70" s="11"/>
      <c r="C70" s="120" t="s">
        <v>133</v>
      </c>
      <c r="D70" s="121">
        <f>(0.07*(1+0.07)^20)/((1+0.07)^20-1)</f>
        <v>9.4392925743255696E-2</v>
      </c>
      <c r="E70" s="107"/>
      <c r="F70" s="107"/>
    </row>
    <row r="71" spans="1:6" x14ac:dyDescent="0.2">
      <c r="A71" s="11"/>
      <c r="B71" s="11"/>
      <c r="C71" s="120" t="s">
        <v>134</v>
      </c>
      <c r="D71" s="122">
        <f>D70*F45</f>
        <v>538024.01152652327</v>
      </c>
    </row>
    <row r="72" spans="1:6" ht="15.75" customHeight="1" x14ac:dyDescent="0.2">
      <c r="A72" s="11"/>
      <c r="B72" s="11"/>
      <c r="C72" s="120" t="s">
        <v>135</v>
      </c>
      <c r="D72" s="122">
        <f>SUM(D71,F58)</f>
        <v>754979.41793862241</v>
      </c>
    </row>
    <row r="73" spans="1:6" ht="15.75" customHeight="1" x14ac:dyDescent="0.2">
      <c r="A73" s="11"/>
      <c r="B73" s="11"/>
      <c r="C73" s="120" t="s">
        <v>136</v>
      </c>
      <c r="D73" s="122">
        <f>D72/F67</f>
        <v>8480.0596096692243</v>
      </c>
    </row>
    <row r="74" spans="1:6" ht="18" customHeight="1" x14ac:dyDescent="0.2">
      <c r="A74" s="11"/>
      <c r="B74" s="139"/>
      <c r="C74" s="139"/>
      <c r="D74" s="123"/>
    </row>
    <row r="75" spans="1:6" ht="21" customHeight="1" x14ac:dyDescent="0.2">
      <c r="A75" s="11"/>
      <c r="B75" s="139"/>
      <c r="C75" s="139"/>
      <c r="D75" s="123"/>
    </row>
    <row r="76" spans="1:6" x14ac:dyDescent="0.2">
      <c r="A76" s="11"/>
      <c r="B76" s="124"/>
      <c r="C76" s="124"/>
      <c r="D76" s="123"/>
    </row>
    <row r="77" spans="1:6" x14ac:dyDescent="0.2">
      <c r="A77" s="11"/>
      <c r="B77" s="124"/>
      <c r="C77" s="125"/>
      <c r="D77" s="123"/>
    </row>
    <row r="78" spans="1:6" ht="46.5" customHeight="1" x14ac:dyDescent="0.2">
      <c r="A78" s="11"/>
      <c r="B78" s="144"/>
      <c r="C78" s="145"/>
      <c r="D78" s="145"/>
      <c r="E78" s="126"/>
    </row>
    <row r="79" spans="1:6" x14ac:dyDescent="0.2">
      <c r="A79" s="11"/>
      <c r="B79" s="125"/>
      <c r="C79" s="125"/>
      <c r="D79" s="123"/>
    </row>
    <row r="80" spans="1:6" x14ac:dyDescent="0.2">
      <c r="A80" s="11"/>
      <c r="B80" s="125"/>
      <c r="C80" s="125"/>
      <c r="D80" s="123"/>
    </row>
    <row r="81" spans="1:4" x14ac:dyDescent="0.2">
      <c r="A81" s="11"/>
      <c r="B81" s="127"/>
      <c r="C81" s="127"/>
      <c r="D81" s="123"/>
    </row>
    <row r="82" spans="1:4" ht="56.25" customHeight="1" x14ac:dyDescent="0.2">
      <c r="A82" s="11"/>
      <c r="B82" s="139"/>
      <c r="C82" s="139"/>
      <c r="D82" s="123"/>
    </row>
    <row r="83" spans="1:4" ht="19.5" customHeight="1" x14ac:dyDescent="0.2">
      <c r="A83" s="11"/>
      <c r="B83" s="124"/>
      <c r="C83" s="124"/>
      <c r="D83" s="123"/>
    </row>
    <row r="84" spans="1:4" ht="32.25" customHeight="1" x14ac:dyDescent="0.2">
      <c r="A84" s="11"/>
      <c r="B84" s="139"/>
      <c r="C84" s="139"/>
      <c r="D84" s="123"/>
    </row>
    <row r="97" spans="2:3" x14ac:dyDescent="0.2">
      <c r="B97" s="128"/>
      <c r="C97" s="129"/>
    </row>
  </sheetData>
  <mergeCells count="8">
    <mergeCell ref="B82:C82"/>
    <mergeCell ref="B84:C84"/>
    <mergeCell ref="B1:D1"/>
    <mergeCell ref="E3:E4"/>
    <mergeCell ref="F3:F4"/>
    <mergeCell ref="B74:C74"/>
    <mergeCell ref="B75:C75"/>
    <mergeCell ref="B78:D78"/>
  </mergeCells>
  <pageMargins left="0.7" right="0.7" top="0.75" bottom="0.75" header="0.3" footer="0.3"/>
  <pageSetup scale="57" orientation="portrait" r:id="rId1"/>
  <rowBreaks count="1" manualBreakCount="1">
    <brk id="6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6"/>
  <sheetViews>
    <sheetView topLeftCell="C1" workbookViewId="0">
      <selection activeCell="I16" sqref="I16"/>
    </sheetView>
  </sheetViews>
  <sheetFormatPr defaultColWidth="9.140625" defaultRowHeight="15" x14ac:dyDescent="0.25"/>
  <cols>
    <col min="1" max="1" width="11.7109375" bestFit="1" customWidth="1"/>
    <col min="2" max="2" width="61.5703125" bestFit="1" customWidth="1"/>
    <col min="3" max="3" width="23.28515625" bestFit="1" customWidth="1"/>
    <col min="4" max="4" width="22.28515625" bestFit="1" customWidth="1"/>
    <col min="5" max="5" width="22.28515625" customWidth="1"/>
    <col min="8" max="8" width="17.7109375" customWidth="1"/>
    <col min="9" max="9" width="16.28515625" bestFit="1" customWidth="1"/>
    <col min="10" max="10" width="12.42578125" bestFit="1" customWidth="1"/>
  </cols>
  <sheetData>
    <row r="1" spans="1:10" x14ac:dyDescent="0.25">
      <c r="D1" t="s">
        <v>137</v>
      </c>
      <c r="I1" s="146" t="s">
        <v>136</v>
      </c>
      <c r="J1" s="146"/>
    </row>
    <row r="2" spans="1:10" x14ac:dyDescent="0.25">
      <c r="B2" t="s">
        <v>138</v>
      </c>
      <c r="C2" t="s">
        <v>139</v>
      </c>
      <c r="D2" t="s">
        <v>140</v>
      </c>
      <c r="E2" t="s">
        <v>141</v>
      </c>
      <c r="F2" t="s">
        <v>142</v>
      </c>
      <c r="G2" t="s">
        <v>143</v>
      </c>
      <c r="H2" t="s">
        <v>144</v>
      </c>
      <c r="I2" t="s">
        <v>140</v>
      </c>
      <c r="J2" t="s">
        <v>141</v>
      </c>
    </row>
    <row r="3" spans="1:10" x14ac:dyDescent="0.25">
      <c r="A3" t="s">
        <v>32</v>
      </c>
      <c r="B3" s="130">
        <v>121440000</v>
      </c>
      <c r="C3">
        <v>5260000</v>
      </c>
      <c r="D3" s="131">
        <f>(B3*C9)+C3</f>
        <v>11657667.705404513</v>
      </c>
      <c r="E3" s="131">
        <f>B3*C16+C3</f>
        <v>15046412.842389343</v>
      </c>
      <c r="F3" s="3">
        <v>0.186</v>
      </c>
      <c r="G3" s="3">
        <v>5.5E-2</v>
      </c>
      <c r="H3" s="132">
        <f>'[1]Read Me'!$R$30*(F3-G3)/F3</f>
        <v>2019.9354838709678</v>
      </c>
      <c r="I3" s="133">
        <f>D3/H3</f>
        <v>5771.3069543508236</v>
      </c>
      <c r="J3" s="133">
        <f>E3/H3</f>
        <v>7448.9571387471597</v>
      </c>
    </row>
    <row r="4" spans="1:10" x14ac:dyDescent="0.25">
      <c r="D4" s="134"/>
      <c r="E4" s="134"/>
      <c r="F4" s="135"/>
      <c r="G4" s="135"/>
      <c r="H4" s="136"/>
      <c r="I4" s="137"/>
    </row>
    <row r="5" spans="1:10" x14ac:dyDescent="0.25">
      <c r="B5" t="s">
        <v>54</v>
      </c>
      <c r="D5" s="134"/>
      <c r="E5" s="134"/>
      <c r="F5" s="135"/>
      <c r="G5" s="135"/>
      <c r="H5" s="136"/>
      <c r="I5" s="137"/>
    </row>
    <row r="6" spans="1:10" x14ac:dyDescent="0.25">
      <c r="B6" t="s">
        <v>145</v>
      </c>
      <c r="C6" s="138">
        <v>3.2500000000000001E-2</v>
      </c>
      <c r="D6" t="s">
        <v>146</v>
      </c>
    </row>
    <row r="7" spans="1:10" x14ac:dyDescent="0.25">
      <c r="B7" t="s">
        <v>147</v>
      </c>
      <c r="C7">
        <v>30</v>
      </c>
    </row>
    <row r="9" spans="1:10" x14ac:dyDescent="0.25">
      <c r="B9" t="s">
        <v>133</v>
      </c>
      <c r="C9">
        <f>(0.0325*(1+0.0325)^30)/((1+0.0325)^30-1)</f>
        <v>5.2681716941736761E-2</v>
      </c>
    </row>
    <row r="12" spans="1:10" x14ac:dyDescent="0.25">
      <c r="B12" t="s">
        <v>54</v>
      </c>
      <c r="D12" s="134"/>
    </row>
    <row r="13" spans="1:10" x14ac:dyDescent="0.25">
      <c r="B13" t="s">
        <v>145</v>
      </c>
      <c r="C13" s="138">
        <v>7.0000000000000007E-2</v>
      </c>
      <c r="D13" t="s">
        <v>148</v>
      </c>
    </row>
    <row r="14" spans="1:10" x14ac:dyDescent="0.25">
      <c r="B14" t="s">
        <v>147</v>
      </c>
      <c r="C14">
        <v>30</v>
      </c>
    </row>
    <row r="16" spans="1:10" x14ac:dyDescent="0.25">
      <c r="B16" t="s">
        <v>133</v>
      </c>
      <c r="C16">
        <f>(0.07*(1+0.07)^30)/((1+0.07)^30-1)</f>
        <v>8.0586403511111196E-2</v>
      </c>
    </row>
  </sheetData>
  <mergeCells count="1">
    <mergeCell ref="I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E30" sqref="E30"/>
    </sheetView>
  </sheetViews>
  <sheetFormatPr defaultRowHeight="15" x14ac:dyDescent="0.25"/>
  <cols>
    <col min="2" max="2" width="17.28515625" bestFit="1" customWidth="1"/>
    <col min="3" max="3" width="41" customWidth="1"/>
    <col min="5" max="5" width="37.28515625" bestFit="1" customWidth="1"/>
    <col min="6" max="6" width="37" customWidth="1"/>
    <col min="7" max="7" width="37.28515625" bestFit="1" customWidth="1"/>
    <col min="8" max="8" width="37" customWidth="1"/>
    <col min="9" max="9" width="37.28515625" bestFit="1" customWidth="1"/>
    <col min="10" max="10" width="37" customWidth="1"/>
    <col min="11" max="11" width="37.28515625" bestFit="1" customWidth="1"/>
    <col min="12" max="12" width="37" customWidth="1"/>
    <col min="13" max="13" width="37.28515625" customWidth="1"/>
    <col min="14" max="14" width="37" customWidth="1"/>
    <col min="15" max="15" width="37.28515625" bestFit="1" customWidth="1"/>
    <col min="16" max="16" width="37" customWidth="1"/>
    <col min="17" max="17" width="37.28515625" bestFit="1" customWidth="1"/>
    <col min="18" max="18" width="37" customWidth="1"/>
    <col min="19" max="19" width="52.28515625" bestFit="1" customWidth="1"/>
    <col min="20" max="20" width="37" customWidth="1"/>
    <col min="21" max="21" width="52.7109375" bestFit="1" customWidth="1"/>
    <col min="22" max="22" width="37" customWidth="1"/>
  </cols>
  <sheetData>
    <row r="1" spans="1:6" ht="18" x14ac:dyDescent="0.35">
      <c r="A1" t="s">
        <v>0</v>
      </c>
      <c r="B1" t="s">
        <v>1</v>
      </c>
      <c r="C1" t="s">
        <v>2</v>
      </c>
    </row>
    <row r="2" spans="1:6" x14ac:dyDescent="0.25">
      <c r="A2">
        <v>1998</v>
      </c>
      <c r="B2">
        <v>389.5</v>
      </c>
      <c r="C2">
        <f>$B$23/B2</f>
        <v>1.5596919127086009</v>
      </c>
    </row>
    <row r="3" spans="1:6" x14ac:dyDescent="0.25">
      <c r="A3">
        <v>1999</v>
      </c>
      <c r="B3">
        <v>390.6</v>
      </c>
      <c r="C3">
        <f t="shared" ref="C3:C23" si="0">$B$23/B3</f>
        <v>1.5552995391705069</v>
      </c>
      <c r="F3" s="1"/>
    </row>
    <row r="4" spans="1:6" x14ac:dyDescent="0.25">
      <c r="A4">
        <v>2000</v>
      </c>
      <c r="B4">
        <v>394.1</v>
      </c>
      <c r="C4">
        <f t="shared" si="0"/>
        <v>1.5414869322506977</v>
      </c>
    </row>
    <row r="5" spans="1:6" x14ac:dyDescent="0.25">
      <c r="A5">
        <v>2001</v>
      </c>
      <c r="B5">
        <v>394.3</v>
      </c>
      <c r="C5">
        <f t="shared" si="0"/>
        <v>1.5407050469185899</v>
      </c>
    </row>
    <row r="6" spans="1:6" x14ac:dyDescent="0.25">
      <c r="A6">
        <v>2002</v>
      </c>
      <c r="B6">
        <v>395.6</v>
      </c>
      <c r="C6">
        <f t="shared" si="0"/>
        <v>1.5356420626895853</v>
      </c>
    </row>
    <row r="7" spans="1:6" x14ac:dyDescent="0.25">
      <c r="A7">
        <v>2003</v>
      </c>
      <c r="B7">
        <v>402</v>
      </c>
      <c r="C7">
        <f t="shared" si="0"/>
        <v>1.5111940298507462</v>
      </c>
    </row>
    <row r="8" spans="1:6" x14ac:dyDescent="0.25">
      <c r="A8">
        <v>2004</v>
      </c>
      <c r="B8">
        <v>444.2</v>
      </c>
      <c r="C8">
        <f t="shared" si="0"/>
        <v>1.3676271949572265</v>
      </c>
      <c r="E8" s="2"/>
      <c r="F8" s="2"/>
    </row>
    <row r="9" spans="1:6" x14ac:dyDescent="0.25">
      <c r="A9">
        <v>2005</v>
      </c>
      <c r="B9">
        <v>468.2</v>
      </c>
      <c r="C9">
        <f t="shared" si="0"/>
        <v>1.2975224263135412</v>
      </c>
    </row>
    <row r="10" spans="1:6" x14ac:dyDescent="0.25">
      <c r="A10">
        <v>2006</v>
      </c>
      <c r="B10">
        <v>499.6</v>
      </c>
      <c r="C10">
        <f t="shared" si="0"/>
        <v>1.215972778222578</v>
      </c>
    </row>
    <row r="11" spans="1:6" x14ac:dyDescent="0.25">
      <c r="A11">
        <v>2007</v>
      </c>
      <c r="B11">
        <v>525.4</v>
      </c>
      <c r="C11">
        <f t="shared" si="0"/>
        <v>1.1562618956985156</v>
      </c>
    </row>
    <row r="12" spans="1:6" x14ac:dyDescent="0.25">
      <c r="A12">
        <v>2008</v>
      </c>
      <c r="B12">
        <v>575.4</v>
      </c>
      <c r="C12">
        <f t="shared" si="0"/>
        <v>1.0557872784150157</v>
      </c>
    </row>
    <row r="13" spans="1:6" x14ac:dyDescent="0.25">
      <c r="A13">
        <v>2009</v>
      </c>
      <c r="B13">
        <v>521.9</v>
      </c>
      <c r="C13">
        <f t="shared" si="0"/>
        <v>1.1640160950373635</v>
      </c>
    </row>
    <row r="14" spans="1:6" x14ac:dyDescent="0.25">
      <c r="A14">
        <v>2010</v>
      </c>
      <c r="B14">
        <v>550.79999999999995</v>
      </c>
      <c r="C14">
        <f t="shared" si="0"/>
        <v>1.1029411764705883</v>
      </c>
    </row>
    <row r="15" spans="1:6" x14ac:dyDescent="0.25">
      <c r="A15">
        <v>2011</v>
      </c>
      <c r="B15">
        <v>585.70000000000005</v>
      </c>
      <c r="C15">
        <f t="shared" si="0"/>
        <v>1.0372204200102442</v>
      </c>
    </row>
    <row r="16" spans="1:6" x14ac:dyDescent="0.25">
      <c r="A16">
        <v>2012</v>
      </c>
      <c r="B16">
        <v>584.6</v>
      </c>
      <c r="C16">
        <f t="shared" si="0"/>
        <v>1.0391720834758809</v>
      </c>
    </row>
    <row r="17" spans="1:3" x14ac:dyDescent="0.25">
      <c r="A17">
        <v>2013</v>
      </c>
      <c r="B17">
        <v>567.20000000000005</v>
      </c>
      <c r="C17">
        <f t="shared" si="0"/>
        <v>1.0710507757404795</v>
      </c>
    </row>
    <row r="18" spans="1:3" x14ac:dyDescent="0.25">
      <c r="A18">
        <v>2014</v>
      </c>
      <c r="B18">
        <v>576.1</v>
      </c>
      <c r="C18">
        <f t="shared" si="0"/>
        <v>1.054504426314876</v>
      </c>
    </row>
    <row r="19" spans="1:3" x14ac:dyDescent="0.25">
      <c r="A19">
        <v>2015</v>
      </c>
      <c r="B19">
        <v>556.79999999999995</v>
      </c>
      <c r="C19">
        <f t="shared" si="0"/>
        <v>1.0910560344827587</v>
      </c>
    </row>
    <row r="20" spans="1:3" x14ac:dyDescent="0.25">
      <c r="A20">
        <v>2016</v>
      </c>
      <c r="B20">
        <v>541.70000000000005</v>
      </c>
      <c r="C20">
        <f t="shared" si="0"/>
        <v>1.1214694480339671</v>
      </c>
    </row>
    <row r="21" spans="1:3" x14ac:dyDescent="0.25">
      <c r="A21">
        <v>2017</v>
      </c>
      <c r="B21">
        <v>567.5</v>
      </c>
      <c r="C21">
        <f t="shared" si="0"/>
        <v>1.0704845814977975</v>
      </c>
    </row>
    <row r="22" spans="1:3" x14ac:dyDescent="0.25">
      <c r="A22">
        <v>2018</v>
      </c>
      <c r="B22">
        <v>603.1</v>
      </c>
      <c r="C22">
        <f t="shared" si="0"/>
        <v>1.0072956391974797</v>
      </c>
    </row>
    <row r="23" spans="1:3" x14ac:dyDescent="0.25">
      <c r="A23">
        <v>2019</v>
      </c>
      <c r="B23">
        <v>607.5</v>
      </c>
      <c r="C23">
        <f t="shared" si="0"/>
        <v>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SWEPCO Read Me </vt:lpstr>
      <vt:lpstr>Flint Creek SNCR Cost</vt:lpstr>
      <vt:lpstr>Flint Creek SCR $ton</vt:lpstr>
      <vt:lpstr>CEPCI Index</vt:lpstr>
      <vt:lpstr>'Flint Creek SNCR Cost'!Print_Area</vt:lpstr>
    </vt:vector>
  </TitlesOfParts>
  <Company>ADEQ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Tricia Treece</dc:creator>
  <cp:lastModifiedBy>Author&lt;*&gt;</cp:lastModifiedBy>
  <dcterms:created xsi:type="dcterms:W3CDTF">2020-08-04T19:03:08Z</dcterms:created>
  <dcterms:modified xsi:type="dcterms:W3CDTF">2021-10-14T16:33:29Z</dcterms:modified>
</cp:coreProperties>
</file>